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Finance\2024 Budget\"/>
    </mc:Choice>
  </mc:AlternateContent>
  <xr:revisionPtr revIDLastSave="0" documentId="13_ncr:1_{6BD9BF1C-C2D7-4BA6-A547-69AB7B2B9778}" xr6:coauthVersionLast="47" xr6:coauthVersionMax="47" xr10:uidLastSave="{00000000-0000-0000-0000-000000000000}"/>
  <bookViews>
    <workbookView xWindow="28680" yWindow="-120" windowWidth="29040" windowHeight="15840" xr2:uid="{7BCB25B1-F911-4AF0-8818-DA0B125012EA}"/>
  </bookViews>
  <sheets>
    <sheet name="Expenses" sheetId="1" r:id="rId1"/>
    <sheet name="Revenue" sheetId="2" r:id="rId2"/>
  </sheets>
  <externalReferences>
    <externalReference r:id="rId3"/>
    <externalReference r:id="rId4"/>
    <externalReference r:id="rId5"/>
  </externalReferences>
  <definedNames>
    <definedName name="_xlnm._FilterDatabase" localSheetId="0" hidden="1">Expenses!$B$1:$B$974</definedName>
    <definedName name="_xlnm.Print_Titles" localSheetId="0">Expenses!$1:$4</definedName>
    <definedName name="_xlnm.Print_Titles" localSheetId="1">Revenue!$1:$2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949" i="1" l="1"/>
  <c r="O949" i="1"/>
  <c r="O947" i="1"/>
  <c r="O943" i="1"/>
  <c r="O934" i="1"/>
  <c r="O922" i="1"/>
  <c r="O909" i="1"/>
  <c r="O903" i="1"/>
  <c r="O898" i="1"/>
  <c r="O883" i="1"/>
  <c r="O873" i="1"/>
  <c r="O867" i="1"/>
  <c r="O856" i="1"/>
  <c r="O849" i="1"/>
  <c r="O836" i="1"/>
  <c r="O827" i="1"/>
  <c r="O807" i="1"/>
  <c r="O790" i="1"/>
  <c r="O780" i="1"/>
  <c r="P780" i="1"/>
  <c r="O779" i="1"/>
  <c r="O758" i="1"/>
  <c r="O756" i="1"/>
  <c r="P756" i="1"/>
  <c r="O755" i="1"/>
  <c r="O746" i="1"/>
  <c r="O743" i="1"/>
  <c r="O732" i="1"/>
  <c r="O666" i="1"/>
  <c r="O640" i="1"/>
  <c r="O632" i="1"/>
  <c r="O627" i="1"/>
  <c r="P627" i="1"/>
  <c r="O615" i="1"/>
  <c r="P615" i="1"/>
  <c r="O617" i="1"/>
  <c r="P617" i="1"/>
  <c r="O620" i="1"/>
  <c r="P620" i="1"/>
  <c r="P614" i="1"/>
  <c r="O614" i="1"/>
  <c r="O608" i="1"/>
  <c r="O587" i="1"/>
  <c r="O579" i="1"/>
  <c r="O532" i="1"/>
  <c r="O471" i="1"/>
  <c r="O457" i="1"/>
  <c r="O454" i="1"/>
  <c r="O440" i="1"/>
  <c r="O412" i="1"/>
  <c r="O402" i="1"/>
  <c r="O363" i="1"/>
  <c r="O324" i="1"/>
  <c r="O316" i="1"/>
  <c r="O290" i="1"/>
  <c r="O279" i="1"/>
  <c r="O257" i="1"/>
  <c r="O238" i="1"/>
  <c r="O223" i="1"/>
  <c r="O206" i="1"/>
  <c r="O197" i="1"/>
  <c r="O187" i="1"/>
  <c r="O108" i="1"/>
  <c r="P58" i="1"/>
  <c r="O100" i="1"/>
  <c r="P100" i="1"/>
  <c r="G951" i="1" l="1"/>
  <c r="P316" i="1"/>
  <c r="P440" i="1"/>
  <c r="O232" i="1"/>
  <c r="P232" i="1"/>
  <c r="O234" i="1"/>
  <c r="P234" i="1"/>
  <c r="P257" i="1"/>
  <c r="O258" i="1"/>
  <c r="P258" i="1"/>
  <c r="O259" i="1"/>
  <c r="P259" i="1"/>
  <c r="O274" i="1"/>
  <c r="P274" i="1"/>
  <c r="O275" i="1"/>
  <c r="P275" i="1"/>
  <c r="O276" i="1"/>
  <c r="P276" i="1"/>
  <c r="O280" i="1"/>
  <c r="P280" i="1"/>
  <c r="O301" i="1"/>
  <c r="P301" i="1"/>
  <c r="O302" i="1"/>
  <c r="P302" i="1"/>
  <c r="O303" i="1"/>
  <c r="P303" i="1"/>
  <c r="O304" i="1"/>
  <c r="P304" i="1"/>
  <c r="J313" i="1"/>
  <c r="J283" i="1"/>
  <c r="J285" i="1"/>
  <c r="J253" i="1"/>
  <c r="J245" i="1"/>
  <c r="J177" i="1"/>
  <c r="J173" i="1"/>
  <c r="J101" i="1"/>
  <c r="K49" i="1"/>
  <c r="J49" i="1"/>
  <c r="J11" i="1"/>
  <c r="O917" i="1"/>
  <c r="P917" i="1"/>
  <c r="O936" i="1"/>
  <c r="P936" i="1"/>
  <c r="O945" i="1"/>
  <c r="P945" i="1"/>
  <c r="P898" i="1"/>
  <c r="O865" i="1"/>
  <c r="P865" i="1"/>
  <c r="P879" i="1"/>
  <c r="O858" i="1"/>
  <c r="P858" i="1"/>
  <c r="O822" i="1"/>
  <c r="P822" i="1"/>
  <c r="O778" i="1"/>
  <c r="P778" i="1"/>
  <c r="P779" i="1"/>
  <c r="O781" i="1"/>
  <c r="P781" i="1"/>
  <c r="O782" i="1"/>
  <c r="P782" i="1"/>
  <c r="O784" i="1"/>
  <c r="P784" i="1"/>
  <c r="O785" i="1"/>
  <c r="P785" i="1"/>
  <c r="O787" i="1"/>
  <c r="P787" i="1"/>
  <c r="O791" i="1"/>
  <c r="P791" i="1"/>
  <c r="P803" i="1"/>
  <c r="P881" i="1"/>
  <c r="O711" i="1"/>
  <c r="P711" i="1"/>
  <c r="O723" i="1"/>
  <c r="P723" i="1"/>
  <c r="O724" i="1"/>
  <c r="P724" i="1"/>
  <c r="O729" i="1"/>
  <c r="P729" i="1"/>
  <c r="O730" i="1"/>
  <c r="P730" i="1"/>
  <c r="O731" i="1"/>
  <c r="P731" i="1"/>
  <c r="P732" i="1"/>
  <c r="J945" i="1"/>
  <c r="J936" i="1"/>
  <c r="J912" i="1"/>
  <c r="J896" i="1"/>
  <c r="J887" i="1"/>
  <c r="J898" i="1"/>
  <c r="K898" i="1"/>
  <c r="K878" i="1"/>
  <c r="O878" i="1" s="1"/>
  <c r="J878" i="1"/>
  <c r="J858" i="1"/>
  <c r="J783" i="1"/>
  <c r="J758" i="1"/>
  <c r="P878" i="1" l="1"/>
  <c r="I637" i="1" l="1"/>
  <c r="O609" i="1"/>
  <c r="P609" i="1"/>
  <c r="O610" i="1"/>
  <c r="P610" i="1"/>
  <c r="O597" i="1"/>
  <c r="P597" i="1"/>
  <c r="O601" i="1"/>
  <c r="J601" i="1"/>
  <c r="O415" i="1"/>
  <c r="P415" i="1"/>
  <c r="O436" i="1"/>
  <c r="P436" i="1"/>
  <c r="J440" i="1"/>
  <c r="J428" i="1"/>
  <c r="J280" i="1"/>
  <c r="J250" i="1"/>
  <c r="J279" i="1"/>
  <c r="G290" i="1"/>
  <c r="J257" i="1"/>
  <c r="J258" i="1"/>
  <c r="J262" i="1"/>
  <c r="J273" i="1"/>
  <c r="J259" i="1"/>
  <c r="J234" i="1"/>
  <c r="J241" i="1"/>
  <c r="J270" i="1"/>
  <c r="P290" i="1" l="1"/>
  <c r="J238" i="1"/>
  <c r="P184" i="1"/>
  <c r="P213" i="1"/>
  <c r="P217" i="1"/>
  <c r="O152" i="1"/>
  <c r="P152" i="1"/>
  <c r="O173" i="1"/>
  <c r="P173" i="1"/>
  <c r="P106" i="1"/>
  <c r="P107" i="1"/>
  <c r="P109" i="1"/>
  <c r="P110" i="1"/>
  <c r="P116" i="1"/>
  <c r="P117" i="1"/>
  <c r="P119" i="1"/>
  <c r="P120" i="1"/>
  <c r="P123" i="1"/>
  <c r="P124" i="1"/>
  <c r="P125" i="1"/>
  <c r="P144" i="1"/>
  <c r="J143" i="1"/>
  <c r="G428" i="1" l="1"/>
  <c r="G392" i="1"/>
  <c r="G379" i="1"/>
  <c r="G359" i="1"/>
  <c r="G835" i="1"/>
  <c r="G623" i="1"/>
  <c r="H626" i="1"/>
  <c r="O379" i="1" l="1"/>
  <c r="P379" i="1"/>
  <c r="G853" i="1"/>
  <c r="G846" i="1"/>
  <c r="G626" i="1"/>
  <c r="J906" i="1" l="1"/>
  <c r="J903" i="1"/>
  <c r="G673" i="1" l="1"/>
  <c r="F692" i="1"/>
  <c r="G691" i="1" s="1"/>
  <c r="F132" i="1"/>
  <c r="G131" i="1" s="1"/>
  <c r="F27" i="2" l="1"/>
  <c r="F28" i="2"/>
  <c r="F29" i="2"/>
  <c r="F30" i="2"/>
  <c r="F10" i="2"/>
  <c r="H88" i="2" l="1"/>
  <c r="G88" i="2"/>
  <c r="P601" i="1" l="1"/>
  <c r="P623" i="1"/>
  <c r="P19" i="1"/>
  <c r="F518" i="1" l="1"/>
  <c r="G515" i="1" s="1"/>
  <c r="G285" i="1"/>
  <c r="G262" i="1"/>
  <c r="G135" i="1"/>
  <c r="O262" i="1" l="1"/>
  <c r="P262" i="1"/>
  <c r="O285" i="1"/>
  <c r="P285" i="1"/>
  <c r="G143" i="1"/>
  <c r="P143" i="1" l="1"/>
  <c r="O143" i="1"/>
  <c r="F891" i="1"/>
  <c r="G740" i="1"/>
  <c r="G889" i="1" l="1"/>
  <c r="G867" i="1"/>
  <c r="G812" i="1"/>
  <c r="G823" i="1" l="1"/>
  <c r="G449" i="1"/>
  <c r="G833" i="1"/>
  <c r="G856" i="1" l="1"/>
  <c r="H790" i="1" l="1"/>
  <c r="G655" i="1"/>
  <c r="G652" i="1"/>
  <c r="G645" i="1"/>
  <c r="G640" i="1"/>
  <c r="G554" i="1"/>
  <c r="G497" i="1"/>
  <c r="G483" i="1"/>
  <c r="G446" i="1"/>
  <c r="H262" i="1"/>
  <c r="H290" i="1"/>
  <c r="H285" i="1"/>
  <c r="G241" i="1"/>
  <c r="H241" i="1"/>
  <c r="G108" i="1"/>
  <c r="G105" i="1"/>
  <c r="G118" i="1"/>
  <c r="G115" i="1"/>
  <c r="H115" i="1"/>
  <c r="G94" i="1"/>
  <c r="G101" i="1" s="1"/>
  <c r="H94" i="1"/>
  <c r="G11" i="1"/>
  <c r="G51" i="1"/>
  <c r="G177" i="1"/>
  <c r="G218" i="1"/>
  <c r="G238" i="1"/>
  <c r="G317" i="1"/>
  <c r="G598" i="1"/>
  <c r="G604" i="1"/>
  <c r="G611" i="1"/>
  <c r="G620" i="1"/>
  <c r="G637" i="1"/>
  <c r="G748" i="1"/>
  <c r="G758" i="1"/>
  <c r="G830" i="1"/>
  <c r="G880" i="1"/>
  <c r="G899" i="1"/>
  <c r="G918" i="1"/>
  <c r="G938" i="1"/>
  <c r="H611" i="1"/>
  <c r="I11" i="1"/>
  <c r="I51" i="1"/>
  <c r="I94" i="1"/>
  <c r="I101" i="1" s="1"/>
  <c r="I108" i="1"/>
  <c r="I145" i="1" s="1"/>
  <c r="I177" i="1"/>
  <c r="I218" i="1"/>
  <c r="I238" i="1"/>
  <c r="I241" i="1"/>
  <c r="I262" i="1"/>
  <c r="I305" i="1"/>
  <c r="I317" i="1"/>
  <c r="I359" i="1"/>
  <c r="I446" i="1" s="1"/>
  <c r="I483" i="1"/>
  <c r="I493" i="1"/>
  <c r="I497" i="1"/>
  <c r="I500" i="1"/>
  <c r="I515" i="1"/>
  <c r="I523" i="1"/>
  <c r="I532" i="1"/>
  <c r="I545" i="1"/>
  <c r="I558" i="1"/>
  <c r="I598" i="1"/>
  <c r="I604" i="1"/>
  <c r="I611" i="1"/>
  <c r="I620" i="1"/>
  <c r="I626" i="1"/>
  <c r="I733" i="1"/>
  <c r="I748" i="1"/>
  <c r="I758" i="1"/>
  <c r="I823" i="1"/>
  <c r="I830" i="1"/>
  <c r="I859" i="1"/>
  <c r="I880" i="1"/>
  <c r="I899" i="1"/>
  <c r="I918" i="1"/>
  <c r="I938" i="1"/>
  <c r="I946" i="1"/>
  <c r="P178" i="1"/>
  <c r="P179" i="1"/>
  <c r="P50" i="1"/>
  <c r="H105" i="1"/>
  <c r="H108" i="1"/>
  <c r="H645" i="1"/>
  <c r="P758" i="1" l="1"/>
  <c r="O748" i="1"/>
  <c r="P748" i="1"/>
  <c r="I804" i="1"/>
  <c r="I947" i="1" s="1"/>
  <c r="G804" i="1"/>
  <c r="G145" i="1"/>
  <c r="H464" i="1"/>
  <c r="I972" i="1" l="1"/>
  <c r="I974" i="1" s="1"/>
  <c r="E65" i="2"/>
  <c r="F63" i="2"/>
  <c r="F64" i="2"/>
  <c r="F65" i="2" l="1"/>
  <c r="F36" i="2"/>
  <c r="H497" i="1" l="1"/>
  <c r="F477" i="1" l="1"/>
  <c r="F476" i="1"/>
  <c r="F306" i="1" l="1"/>
  <c r="F669" i="1"/>
  <c r="G666" i="1" s="1"/>
  <c r="H655" i="1"/>
  <c r="H652" i="1"/>
  <c r="G733" i="1" l="1"/>
  <c r="H305" i="1"/>
  <c r="G305" i="1"/>
  <c r="H118" i="1"/>
  <c r="H145" i="1" s="1"/>
  <c r="H640" i="1"/>
  <c r="G313" i="1" l="1"/>
  <c r="O305" i="1"/>
  <c r="P305" i="1"/>
  <c r="H666" i="1"/>
  <c r="H177" i="1" l="1"/>
  <c r="H748" i="1" l="1"/>
  <c r="H758" i="1"/>
  <c r="K710" i="1"/>
  <c r="K709" i="1"/>
  <c r="K707" i="1"/>
  <c r="F75" i="2"/>
  <c r="F76" i="2"/>
  <c r="F77" i="2"/>
  <c r="F78" i="2"/>
  <c r="F79" i="2"/>
  <c r="F80" i="2"/>
  <c r="F81" i="2"/>
  <c r="F82" i="2"/>
  <c r="F83" i="2"/>
  <c r="O709" i="1" l="1"/>
  <c r="P709" i="1"/>
  <c r="P707" i="1"/>
  <c r="O707" i="1"/>
  <c r="P710" i="1"/>
  <c r="O710" i="1"/>
  <c r="H804" i="1"/>
  <c r="F88" i="2"/>
  <c r="F68" i="2"/>
  <c r="F69" i="2"/>
  <c r="F31" i="2"/>
  <c r="F22" i="2"/>
  <c r="F24" i="2" s="1"/>
  <c r="F18" i="2"/>
  <c r="F17" i="2"/>
  <c r="F14" i="2"/>
  <c r="F13" i="2"/>
  <c r="F11" i="2"/>
  <c r="F5" i="2"/>
  <c r="F7" i="2" s="1"/>
  <c r="F58" i="2"/>
  <c r="F56" i="2"/>
  <c r="F54" i="2"/>
  <c r="F53" i="2"/>
  <c r="F52" i="2"/>
  <c r="F50" i="2"/>
  <c r="F49" i="2"/>
  <c r="F42" i="2"/>
  <c r="F41" i="2"/>
  <c r="F37" i="2"/>
  <c r="H554" i="1"/>
  <c r="H558" i="1"/>
  <c r="H446" i="1" l="1"/>
  <c r="F19" i="2"/>
  <c r="F45" i="2"/>
  <c r="F70" i="2"/>
  <c r="F60" i="2"/>
  <c r="H238" i="1"/>
  <c r="H313" i="1" s="1"/>
  <c r="F72" i="2" l="1"/>
  <c r="F90" i="2" s="1"/>
  <c r="F289" i="1"/>
  <c r="I285" i="1" s="1"/>
  <c r="I313" i="1" s="1"/>
  <c r="F573" i="1" l="1"/>
  <c r="F574" i="1"/>
  <c r="F572" i="1"/>
  <c r="F567" i="1"/>
  <c r="G566" i="1" s="1"/>
  <c r="I570" i="1" l="1"/>
  <c r="G570" i="1"/>
  <c r="H566" i="1"/>
  <c r="I566" i="1"/>
  <c r="H570" i="1"/>
  <c r="H483" i="1"/>
  <c r="F478" i="1"/>
  <c r="P570" i="1" l="1"/>
  <c r="O570" i="1"/>
  <c r="G475" i="1"/>
  <c r="H475" i="1"/>
  <c r="H575" i="1" s="1"/>
  <c r="I475" i="1"/>
  <c r="I575" i="1" s="1"/>
  <c r="I627" i="1" s="1"/>
  <c r="I949" i="1" s="1"/>
  <c r="G575" i="1" l="1"/>
  <c r="G627" i="1" s="1"/>
  <c r="L10" i="2"/>
  <c r="L11" i="2"/>
  <c r="L13" i="2"/>
  <c r="L14" i="2"/>
  <c r="L17" i="2"/>
  <c r="L22" i="2"/>
  <c r="L27" i="2"/>
  <c r="L28" i="2"/>
  <c r="L29" i="2"/>
  <c r="L30" i="2"/>
  <c r="L36" i="2"/>
  <c r="L37" i="2"/>
  <c r="L41" i="2"/>
  <c r="L42" i="2"/>
  <c r="L49" i="2"/>
  <c r="L50" i="2"/>
  <c r="L53" i="2"/>
  <c r="L54" i="2"/>
  <c r="L56" i="2"/>
  <c r="L58" i="2"/>
  <c r="L64" i="2"/>
  <c r="L65" i="2"/>
  <c r="L68" i="2"/>
  <c r="L69" i="2"/>
  <c r="L75" i="2"/>
  <c r="L76" i="2"/>
  <c r="L77" i="2"/>
  <c r="L78" i="2"/>
  <c r="L79" i="2"/>
  <c r="L80" i="2"/>
  <c r="L81" i="2"/>
  <c r="L82" i="2"/>
  <c r="L83" i="2"/>
  <c r="E19" i="2"/>
  <c r="E203" i="1"/>
  <c r="E60" i="2"/>
  <c r="L60" i="2" s="1"/>
  <c r="E45" i="2"/>
  <c r="L45" i="2" s="1"/>
  <c r="E24" i="2"/>
  <c r="F905" i="1" l="1"/>
  <c r="F904" i="1"/>
  <c r="F855" i="1"/>
  <c r="F850" i="1"/>
  <c r="F843" i="1"/>
  <c r="G841" i="1" s="1"/>
  <c r="F752" i="1"/>
  <c r="F705" i="1"/>
  <c r="F706" i="1"/>
  <c r="F704" i="1"/>
  <c r="J19" i="2"/>
  <c r="I19" i="2"/>
  <c r="H19" i="2"/>
  <c r="L19" i="2" s="1"/>
  <c r="G19" i="2"/>
  <c r="K13" i="2"/>
  <c r="K19" i="2" s="1"/>
  <c r="E88" i="2"/>
  <c r="L88" i="2" s="1"/>
  <c r="E7" i="2"/>
  <c r="L7" i="2" s="1"/>
  <c r="E31" i="2"/>
  <c r="L31" i="2" s="1"/>
  <c r="E70" i="2"/>
  <c r="L70" i="2" s="1"/>
  <c r="G859" i="1" l="1"/>
  <c r="E72" i="2"/>
  <c r="K941" i="1"/>
  <c r="K942" i="1"/>
  <c r="K943" i="1"/>
  <c r="K944" i="1"/>
  <c r="J941" i="1"/>
  <c r="J942" i="1"/>
  <c r="J943" i="1"/>
  <c r="J944" i="1"/>
  <c r="K921" i="1"/>
  <c r="K922" i="1"/>
  <c r="K923" i="1"/>
  <c r="K924" i="1"/>
  <c r="K925" i="1"/>
  <c r="K926" i="1"/>
  <c r="K929" i="1"/>
  <c r="K930" i="1"/>
  <c r="K931" i="1"/>
  <c r="K932" i="1"/>
  <c r="K933" i="1"/>
  <c r="K934" i="1"/>
  <c r="J921" i="1"/>
  <c r="J922" i="1"/>
  <c r="J923" i="1"/>
  <c r="J924" i="1"/>
  <c r="J925" i="1"/>
  <c r="J926" i="1"/>
  <c r="J929" i="1"/>
  <c r="J930" i="1"/>
  <c r="J931" i="1"/>
  <c r="J932" i="1"/>
  <c r="J933" i="1"/>
  <c r="J934" i="1"/>
  <c r="K903" i="1"/>
  <c r="K906" i="1"/>
  <c r="K907" i="1"/>
  <c r="K909" i="1"/>
  <c r="K912" i="1"/>
  <c r="K914" i="1"/>
  <c r="K916" i="1"/>
  <c r="J907" i="1"/>
  <c r="J909" i="1"/>
  <c r="J914" i="1"/>
  <c r="J916" i="1"/>
  <c r="K883" i="1"/>
  <c r="K884" i="1"/>
  <c r="K885" i="1"/>
  <c r="K886" i="1"/>
  <c r="K887" i="1"/>
  <c r="K888" i="1"/>
  <c r="K889" i="1"/>
  <c r="K892" i="1"/>
  <c r="K893" i="1"/>
  <c r="K894" i="1"/>
  <c r="K895" i="1"/>
  <c r="K896" i="1"/>
  <c r="K897" i="1"/>
  <c r="J883" i="1"/>
  <c r="J884" i="1"/>
  <c r="J885" i="1"/>
  <c r="J886" i="1"/>
  <c r="J888" i="1"/>
  <c r="J889" i="1"/>
  <c r="J892" i="1"/>
  <c r="J893" i="1"/>
  <c r="J894" i="1"/>
  <c r="J895" i="1"/>
  <c r="J897" i="1"/>
  <c r="K862" i="1"/>
  <c r="K863" i="1"/>
  <c r="K864" i="1"/>
  <c r="K866" i="1"/>
  <c r="K867" i="1"/>
  <c r="K870" i="1"/>
  <c r="K871" i="1"/>
  <c r="K872" i="1"/>
  <c r="K873" i="1"/>
  <c r="K874" i="1"/>
  <c r="K875" i="1"/>
  <c r="K876" i="1"/>
  <c r="K877" i="1"/>
  <c r="J862" i="1"/>
  <c r="J863" i="1"/>
  <c r="J864" i="1"/>
  <c r="J866" i="1"/>
  <c r="J867" i="1"/>
  <c r="J870" i="1"/>
  <c r="J871" i="1"/>
  <c r="J872" i="1"/>
  <c r="J873" i="1"/>
  <c r="J874" i="1"/>
  <c r="J875" i="1"/>
  <c r="J876" i="1"/>
  <c r="J877" i="1"/>
  <c r="K848" i="1"/>
  <c r="K849" i="1"/>
  <c r="K852" i="1"/>
  <c r="J848" i="1"/>
  <c r="J849" i="1"/>
  <c r="J852" i="1"/>
  <c r="K807" i="1"/>
  <c r="K808" i="1"/>
  <c r="K809" i="1"/>
  <c r="K810" i="1"/>
  <c r="K811" i="1"/>
  <c r="K812" i="1"/>
  <c r="K815" i="1"/>
  <c r="K816" i="1"/>
  <c r="K817" i="1"/>
  <c r="K818" i="1"/>
  <c r="K819" i="1"/>
  <c r="K820" i="1"/>
  <c r="K821" i="1"/>
  <c r="J806" i="1"/>
  <c r="J807" i="1"/>
  <c r="J808" i="1"/>
  <c r="J809" i="1"/>
  <c r="J810" i="1"/>
  <c r="J811" i="1"/>
  <c r="J812" i="1"/>
  <c r="J815" i="1"/>
  <c r="J816" i="1"/>
  <c r="J817" i="1"/>
  <c r="J818" i="1"/>
  <c r="J819" i="1"/>
  <c r="J820" i="1"/>
  <c r="J821" i="1"/>
  <c r="J801" i="1"/>
  <c r="J779" i="1"/>
  <c r="J780" i="1"/>
  <c r="J781" i="1"/>
  <c r="J782" i="1"/>
  <c r="J790" i="1"/>
  <c r="J709" i="1"/>
  <c r="J710" i="1"/>
  <c r="J711" i="1"/>
  <c r="J723" i="1"/>
  <c r="J724" i="1"/>
  <c r="J729" i="1"/>
  <c r="J730" i="1"/>
  <c r="J731" i="1"/>
  <c r="K613" i="1"/>
  <c r="K614" i="1"/>
  <c r="K615" i="1"/>
  <c r="J613" i="1"/>
  <c r="J614" i="1"/>
  <c r="J615" i="1"/>
  <c r="K606" i="1"/>
  <c r="K607" i="1"/>
  <c r="K608" i="1"/>
  <c r="J606" i="1"/>
  <c r="J607" i="1"/>
  <c r="J608" i="1"/>
  <c r="K578" i="1"/>
  <c r="K579" i="1"/>
  <c r="K580" i="1"/>
  <c r="K581" i="1"/>
  <c r="K582" i="1"/>
  <c r="K583" i="1"/>
  <c r="K587" i="1"/>
  <c r="K590" i="1"/>
  <c r="K591" i="1"/>
  <c r="K592" i="1"/>
  <c r="K593" i="1"/>
  <c r="P593" i="1" s="1"/>
  <c r="K594" i="1"/>
  <c r="K595" i="1"/>
  <c r="K596" i="1"/>
  <c r="J578" i="1"/>
  <c r="J579" i="1"/>
  <c r="J580" i="1"/>
  <c r="J583" i="1"/>
  <c r="J587" i="1"/>
  <c r="J590" i="1"/>
  <c r="J591" i="1"/>
  <c r="J592" i="1"/>
  <c r="J593" i="1"/>
  <c r="J594" i="1"/>
  <c r="J595" i="1"/>
  <c r="J596" i="1"/>
  <c r="K548" i="1"/>
  <c r="K553" i="1"/>
  <c r="K554" i="1"/>
  <c r="K557" i="1"/>
  <c r="K558" i="1"/>
  <c r="K564" i="1"/>
  <c r="K565" i="1"/>
  <c r="K566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4" i="1"/>
  <c r="J467" i="1"/>
  <c r="J471" i="1"/>
  <c r="J473" i="1"/>
  <c r="J475" i="1"/>
  <c r="J479" i="1"/>
  <c r="J480" i="1"/>
  <c r="J483" i="1"/>
  <c r="J487" i="1"/>
  <c r="J488" i="1"/>
  <c r="J492" i="1"/>
  <c r="J493" i="1"/>
  <c r="J497" i="1"/>
  <c r="J500" i="1"/>
  <c r="J503" i="1"/>
  <c r="J504" i="1"/>
  <c r="J505" i="1"/>
  <c r="J506" i="1"/>
  <c r="J514" i="1"/>
  <c r="J515" i="1"/>
  <c r="J523" i="1"/>
  <c r="J532" i="1"/>
  <c r="J544" i="1"/>
  <c r="J545" i="1"/>
  <c r="J548" i="1"/>
  <c r="J553" i="1"/>
  <c r="J554" i="1"/>
  <c r="J557" i="1"/>
  <c r="J558" i="1"/>
  <c r="J564" i="1"/>
  <c r="J565" i="1"/>
  <c r="J566" i="1"/>
  <c r="K403" i="1"/>
  <c r="K404" i="1"/>
  <c r="K407" i="1"/>
  <c r="K409" i="1"/>
  <c r="K412" i="1"/>
  <c r="K413" i="1"/>
  <c r="K416" i="1"/>
  <c r="K418" i="1"/>
  <c r="K419" i="1"/>
  <c r="K420" i="1"/>
  <c r="K421" i="1"/>
  <c r="K422" i="1"/>
  <c r="K426" i="1"/>
  <c r="J403" i="1"/>
  <c r="J404" i="1"/>
  <c r="J407" i="1"/>
  <c r="J409" i="1"/>
  <c r="J412" i="1"/>
  <c r="J413" i="1"/>
  <c r="J416" i="1"/>
  <c r="J418" i="1"/>
  <c r="J419" i="1"/>
  <c r="J420" i="1"/>
  <c r="J421" i="1"/>
  <c r="J422" i="1"/>
  <c r="J426" i="1"/>
  <c r="K266" i="1"/>
  <c r="K270" i="1"/>
  <c r="K273" i="1"/>
  <c r="K277" i="1"/>
  <c r="K279" i="1"/>
  <c r="K282" i="1"/>
  <c r="K283" i="1"/>
  <c r="K289" i="1"/>
  <c r="J274" i="1"/>
  <c r="J277" i="1"/>
  <c r="K245" i="1"/>
  <c r="K246" i="1"/>
  <c r="K247" i="1"/>
  <c r="K248" i="1"/>
  <c r="K250" i="1"/>
  <c r="K253" i="1"/>
  <c r="J246" i="1"/>
  <c r="J247" i="1"/>
  <c r="J248" i="1"/>
  <c r="O246" i="1" l="1"/>
  <c r="P246" i="1"/>
  <c r="O277" i="1"/>
  <c r="P277" i="1"/>
  <c r="P279" i="1"/>
  <c r="P245" i="1"/>
  <c r="O245" i="1"/>
  <c r="O273" i="1"/>
  <c r="P273" i="1"/>
  <c r="O253" i="1"/>
  <c r="P253" i="1"/>
  <c r="P250" i="1"/>
  <c r="O250" i="1"/>
  <c r="O283" i="1"/>
  <c r="P283" i="1"/>
  <c r="O247" i="1"/>
  <c r="P247" i="1"/>
  <c r="O270" i="1"/>
  <c r="P270" i="1"/>
  <c r="O248" i="1"/>
  <c r="P248" i="1"/>
  <c r="P934" i="1"/>
  <c r="P943" i="1"/>
  <c r="O815" i="1"/>
  <c r="P815" i="1"/>
  <c r="O871" i="1"/>
  <c r="P871" i="1"/>
  <c r="P889" i="1"/>
  <c r="O889" i="1"/>
  <c r="O906" i="1"/>
  <c r="P906" i="1"/>
  <c r="O932" i="1"/>
  <c r="P932" i="1"/>
  <c r="P922" i="1"/>
  <c r="O942" i="1"/>
  <c r="P942" i="1"/>
  <c r="O817" i="1"/>
  <c r="P817" i="1"/>
  <c r="P862" i="1"/>
  <c r="O862" i="1"/>
  <c r="O872" i="1"/>
  <c r="P872" i="1"/>
  <c r="O923" i="1"/>
  <c r="P923" i="1"/>
  <c r="O812" i="1"/>
  <c r="P812" i="1"/>
  <c r="O870" i="1"/>
  <c r="P870" i="1"/>
  <c r="O888" i="1"/>
  <c r="P888" i="1"/>
  <c r="P903" i="1"/>
  <c r="P931" i="1"/>
  <c r="O931" i="1"/>
  <c r="O921" i="1"/>
  <c r="P921" i="1"/>
  <c r="O941" i="1"/>
  <c r="P941" i="1"/>
  <c r="K946" i="1"/>
  <c r="P883" i="1"/>
  <c r="O907" i="1"/>
  <c r="P907" i="1"/>
  <c r="O821" i="1"/>
  <c r="P821" i="1"/>
  <c r="O811" i="1"/>
  <c r="P811" i="1"/>
  <c r="P852" i="1"/>
  <c r="O852" i="1"/>
  <c r="O877" i="1"/>
  <c r="P877" i="1"/>
  <c r="P867" i="1"/>
  <c r="O897" i="1"/>
  <c r="P897" i="1"/>
  <c r="O887" i="1"/>
  <c r="P887" i="1"/>
  <c r="O930" i="1"/>
  <c r="P930" i="1"/>
  <c r="P807" i="1"/>
  <c r="O944" i="1"/>
  <c r="P944" i="1"/>
  <c r="O820" i="1"/>
  <c r="P820" i="1"/>
  <c r="P849" i="1"/>
  <c r="O876" i="1"/>
  <c r="P876" i="1"/>
  <c r="O866" i="1"/>
  <c r="P866" i="1"/>
  <c r="P896" i="1"/>
  <c r="O896" i="1"/>
  <c r="P886" i="1"/>
  <c r="O886" i="1"/>
  <c r="O916" i="1"/>
  <c r="P916" i="1"/>
  <c r="O929" i="1"/>
  <c r="P929" i="1"/>
  <c r="O893" i="1"/>
  <c r="P893" i="1"/>
  <c r="P909" i="1"/>
  <c r="O816" i="1"/>
  <c r="P816" i="1"/>
  <c r="O933" i="1"/>
  <c r="P933" i="1"/>
  <c r="O819" i="1"/>
  <c r="P819" i="1"/>
  <c r="O809" i="1"/>
  <c r="P809" i="1"/>
  <c r="O848" i="1"/>
  <c r="P848" i="1"/>
  <c r="O875" i="1"/>
  <c r="P875" i="1"/>
  <c r="O864" i="1"/>
  <c r="P864" i="1"/>
  <c r="O895" i="1"/>
  <c r="P895" i="1"/>
  <c r="O885" i="1"/>
  <c r="P885" i="1"/>
  <c r="O914" i="1"/>
  <c r="P914" i="1"/>
  <c r="O926" i="1"/>
  <c r="P926" i="1"/>
  <c r="P873" i="1"/>
  <c r="P892" i="1"/>
  <c r="O892" i="1"/>
  <c r="O818" i="1"/>
  <c r="P818" i="1"/>
  <c r="O808" i="1"/>
  <c r="P808" i="1"/>
  <c r="O874" i="1"/>
  <c r="P874" i="1"/>
  <c r="P863" i="1"/>
  <c r="O863" i="1"/>
  <c r="O894" i="1"/>
  <c r="P894" i="1"/>
  <c r="P884" i="1"/>
  <c r="O884" i="1"/>
  <c r="P912" i="1"/>
  <c r="O912" i="1"/>
  <c r="P925" i="1"/>
  <c r="O925" i="1"/>
  <c r="J946" i="1"/>
  <c r="J938" i="1"/>
  <c r="J880" i="1"/>
  <c r="J899" i="1"/>
  <c r="K918" i="1"/>
  <c r="K938" i="1"/>
  <c r="K899" i="1"/>
  <c r="K880" i="1"/>
  <c r="K620" i="1"/>
  <c r="J620" i="1"/>
  <c r="J611" i="1"/>
  <c r="P607" i="1"/>
  <c r="O607" i="1"/>
  <c r="P606" i="1"/>
  <c r="K611" i="1"/>
  <c r="O606" i="1"/>
  <c r="P608" i="1"/>
  <c r="P595" i="1"/>
  <c r="O595" i="1"/>
  <c r="O594" i="1"/>
  <c r="P594" i="1"/>
  <c r="O581" i="1"/>
  <c r="P581" i="1"/>
  <c r="P580" i="1"/>
  <c r="O580" i="1"/>
  <c r="P592" i="1"/>
  <c r="O592" i="1"/>
  <c r="P579" i="1"/>
  <c r="O591" i="1"/>
  <c r="P591" i="1"/>
  <c r="O578" i="1"/>
  <c r="P578" i="1"/>
  <c r="O590" i="1"/>
  <c r="P590" i="1"/>
  <c r="O582" i="1"/>
  <c r="P582" i="1"/>
  <c r="P587" i="1"/>
  <c r="O596" i="1"/>
  <c r="P596" i="1"/>
  <c r="O583" i="1"/>
  <c r="P583" i="1"/>
  <c r="J598" i="1"/>
  <c r="K598" i="1"/>
  <c r="O564" i="1"/>
  <c r="P564" i="1"/>
  <c r="O557" i="1"/>
  <c r="P557" i="1"/>
  <c r="O554" i="1"/>
  <c r="P554" i="1"/>
  <c r="O553" i="1"/>
  <c r="P553" i="1"/>
  <c r="J575" i="1"/>
  <c r="P548" i="1"/>
  <c r="O548" i="1"/>
  <c r="O566" i="1"/>
  <c r="P566" i="1"/>
  <c r="O558" i="1"/>
  <c r="P558" i="1"/>
  <c r="O565" i="1"/>
  <c r="P565" i="1"/>
  <c r="O413" i="1"/>
  <c r="P413" i="1"/>
  <c r="O426" i="1"/>
  <c r="P426" i="1"/>
  <c r="P412" i="1"/>
  <c r="O422" i="1"/>
  <c r="P422" i="1"/>
  <c r="O409" i="1"/>
  <c r="P409" i="1"/>
  <c r="O416" i="1"/>
  <c r="P416" i="1"/>
  <c r="P421" i="1"/>
  <c r="O421" i="1"/>
  <c r="O407" i="1"/>
  <c r="P407" i="1"/>
  <c r="O420" i="1"/>
  <c r="P420" i="1"/>
  <c r="O404" i="1"/>
  <c r="P404" i="1"/>
  <c r="P418" i="1"/>
  <c r="O418" i="1"/>
  <c r="O419" i="1"/>
  <c r="P419" i="1"/>
  <c r="O403" i="1"/>
  <c r="P403" i="1"/>
  <c r="J918" i="1"/>
  <c r="E90" i="2"/>
  <c r="L72" i="2"/>
  <c r="K317" i="1"/>
  <c r="J823" i="1"/>
  <c r="K823" i="1"/>
  <c r="Q582" i="1" l="1"/>
  <c r="Q944" i="1"/>
  <c r="Q819" i="1"/>
  <c r="Q931" i="1"/>
  <c r="Q874" i="1"/>
  <c r="Q896" i="1"/>
  <c r="P918" i="1"/>
  <c r="O918" i="1"/>
  <c r="P938" i="1"/>
  <c r="O938" i="1"/>
  <c r="O823" i="1"/>
  <c r="P823" i="1"/>
  <c r="O899" i="1"/>
  <c r="P899" i="1"/>
  <c r="O880" i="1"/>
  <c r="P880" i="1"/>
  <c r="O598" i="1"/>
  <c r="P598" i="1"/>
  <c r="L90" i="2"/>
  <c r="E91" i="2"/>
  <c r="N611" i="1" l="1"/>
  <c r="M611" i="1"/>
  <c r="J853" i="1" l="1"/>
  <c r="J854" i="1"/>
  <c r="J855" i="1"/>
  <c r="J856" i="1"/>
  <c r="J857" i="1"/>
  <c r="K853" i="1"/>
  <c r="K854" i="1"/>
  <c r="K855" i="1"/>
  <c r="K856" i="1"/>
  <c r="K857" i="1"/>
  <c r="J826" i="1"/>
  <c r="J827" i="1"/>
  <c r="J828" i="1"/>
  <c r="J829" i="1"/>
  <c r="J830" i="1"/>
  <c r="J833" i="1"/>
  <c r="J834" i="1"/>
  <c r="J835" i="1"/>
  <c r="J836" i="1"/>
  <c r="J837" i="1"/>
  <c r="J838" i="1"/>
  <c r="J839" i="1"/>
  <c r="J840" i="1"/>
  <c r="J841" i="1"/>
  <c r="J844" i="1"/>
  <c r="J845" i="1"/>
  <c r="J846" i="1"/>
  <c r="J847" i="1"/>
  <c r="K826" i="1"/>
  <c r="K827" i="1"/>
  <c r="K828" i="1"/>
  <c r="K829" i="1"/>
  <c r="K830" i="1"/>
  <c r="K833" i="1"/>
  <c r="K834" i="1"/>
  <c r="K835" i="1"/>
  <c r="K836" i="1"/>
  <c r="K837" i="1"/>
  <c r="K838" i="1"/>
  <c r="K839" i="1"/>
  <c r="K840" i="1"/>
  <c r="K841" i="1"/>
  <c r="K844" i="1"/>
  <c r="K845" i="1"/>
  <c r="K846" i="1"/>
  <c r="K847" i="1"/>
  <c r="K790" i="1"/>
  <c r="P790" i="1" s="1"/>
  <c r="K801" i="1"/>
  <c r="J735" i="1"/>
  <c r="J736" i="1"/>
  <c r="J737" i="1"/>
  <c r="J738" i="1"/>
  <c r="J739" i="1"/>
  <c r="J740" i="1"/>
  <c r="J743" i="1"/>
  <c r="J744" i="1"/>
  <c r="J745" i="1"/>
  <c r="J746" i="1"/>
  <c r="J747" i="1"/>
  <c r="J752" i="1"/>
  <c r="J753" i="1"/>
  <c r="J754" i="1"/>
  <c r="J755" i="1"/>
  <c r="J756" i="1"/>
  <c r="K735" i="1"/>
  <c r="K736" i="1"/>
  <c r="K737" i="1"/>
  <c r="K738" i="1"/>
  <c r="K739" i="1"/>
  <c r="P739" i="1" s="1"/>
  <c r="K740" i="1"/>
  <c r="K743" i="1"/>
  <c r="K744" i="1"/>
  <c r="K745" i="1"/>
  <c r="K746" i="1"/>
  <c r="K747" i="1"/>
  <c r="K752" i="1"/>
  <c r="K753" i="1"/>
  <c r="K754" i="1"/>
  <c r="K755" i="1"/>
  <c r="K756" i="1"/>
  <c r="J631" i="1"/>
  <c r="J632" i="1"/>
  <c r="J634" i="1"/>
  <c r="J640" i="1"/>
  <c r="J643" i="1"/>
  <c r="J644" i="1"/>
  <c r="J645" i="1"/>
  <c r="J649" i="1"/>
  <c r="J650" i="1"/>
  <c r="J651" i="1"/>
  <c r="J652" i="1"/>
  <c r="J655" i="1"/>
  <c r="J658" i="1"/>
  <c r="J659" i="1"/>
  <c r="J660" i="1"/>
  <c r="J661" i="1"/>
  <c r="J665" i="1"/>
  <c r="J666" i="1"/>
  <c r="J671" i="1"/>
  <c r="J672" i="1"/>
  <c r="J673" i="1"/>
  <c r="J691" i="1"/>
  <c r="J695" i="1"/>
  <c r="J703" i="1"/>
  <c r="J707" i="1"/>
  <c r="K631" i="1"/>
  <c r="K632" i="1"/>
  <c r="K634" i="1"/>
  <c r="K640" i="1"/>
  <c r="K643" i="1"/>
  <c r="K644" i="1"/>
  <c r="K645" i="1"/>
  <c r="K649" i="1"/>
  <c r="K650" i="1"/>
  <c r="K651" i="1"/>
  <c r="K652" i="1"/>
  <c r="K655" i="1"/>
  <c r="K658" i="1"/>
  <c r="K659" i="1"/>
  <c r="K660" i="1"/>
  <c r="K661" i="1"/>
  <c r="K665" i="1"/>
  <c r="K666" i="1"/>
  <c r="K671" i="1"/>
  <c r="K672" i="1"/>
  <c r="K673" i="1"/>
  <c r="K691" i="1"/>
  <c r="K695" i="1"/>
  <c r="K703" i="1"/>
  <c r="J626" i="1"/>
  <c r="K626" i="1"/>
  <c r="J604" i="1"/>
  <c r="K604" i="1"/>
  <c r="K42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4" i="1"/>
  <c r="K467" i="1"/>
  <c r="K471" i="1"/>
  <c r="K473" i="1"/>
  <c r="K475" i="1"/>
  <c r="K479" i="1"/>
  <c r="K480" i="1"/>
  <c r="K483" i="1"/>
  <c r="K487" i="1"/>
  <c r="K488" i="1"/>
  <c r="K492" i="1"/>
  <c r="K493" i="1"/>
  <c r="K497" i="1"/>
  <c r="K500" i="1"/>
  <c r="K503" i="1"/>
  <c r="K504" i="1"/>
  <c r="K505" i="1"/>
  <c r="K506" i="1"/>
  <c r="K514" i="1"/>
  <c r="K515" i="1"/>
  <c r="K523" i="1"/>
  <c r="K532" i="1"/>
  <c r="P532" i="1" s="1"/>
  <c r="K544" i="1"/>
  <c r="K545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40" i="1"/>
  <c r="J354" i="1"/>
  <c r="J355" i="1"/>
  <c r="J359" i="1"/>
  <c r="J363" i="1"/>
  <c r="J369" i="1"/>
  <c r="J378" i="1"/>
  <c r="J386" i="1"/>
  <c r="J387" i="1"/>
  <c r="J390" i="1"/>
  <c r="J392" i="1"/>
  <c r="J402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40" i="1"/>
  <c r="K354" i="1"/>
  <c r="K355" i="1"/>
  <c r="K359" i="1"/>
  <c r="K363" i="1"/>
  <c r="K369" i="1"/>
  <c r="K378" i="1"/>
  <c r="K386" i="1"/>
  <c r="K387" i="1"/>
  <c r="K390" i="1"/>
  <c r="K392" i="1"/>
  <c r="K402" i="1"/>
  <c r="J317" i="1"/>
  <c r="J221" i="1"/>
  <c r="J223" i="1"/>
  <c r="J224" i="1"/>
  <c r="J226" i="1"/>
  <c r="J227" i="1"/>
  <c r="J228" i="1"/>
  <c r="J229" i="1"/>
  <c r="J230" i="1"/>
  <c r="J231" i="1"/>
  <c r="J237" i="1"/>
  <c r="K221" i="1"/>
  <c r="K223" i="1"/>
  <c r="K224" i="1"/>
  <c r="K226" i="1"/>
  <c r="K227" i="1"/>
  <c r="K228" i="1"/>
  <c r="K229" i="1"/>
  <c r="K230" i="1"/>
  <c r="K231" i="1"/>
  <c r="K237" i="1"/>
  <c r="K238" i="1"/>
  <c r="K241" i="1"/>
  <c r="J180" i="1"/>
  <c r="J181" i="1"/>
  <c r="J182" i="1"/>
  <c r="J183" i="1"/>
  <c r="J185" i="1"/>
  <c r="J186" i="1"/>
  <c r="J187" i="1"/>
  <c r="J188" i="1"/>
  <c r="J189" i="1"/>
  <c r="J190" i="1"/>
  <c r="J191" i="1"/>
  <c r="J192" i="1"/>
  <c r="J194" i="1"/>
  <c r="J197" i="1"/>
  <c r="J199" i="1"/>
  <c r="J201" i="1"/>
  <c r="J202" i="1"/>
  <c r="J204" i="1"/>
  <c r="J206" i="1"/>
  <c r="J207" i="1"/>
  <c r="J209" i="1"/>
  <c r="J212" i="1"/>
  <c r="J214" i="1"/>
  <c r="J215" i="1"/>
  <c r="J216" i="1"/>
  <c r="J148" i="1"/>
  <c r="J150" i="1"/>
  <c r="J151" i="1"/>
  <c r="J154" i="1"/>
  <c r="J155" i="1"/>
  <c r="J156" i="1"/>
  <c r="J157" i="1"/>
  <c r="J160" i="1"/>
  <c r="J161" i="1"/>
  <c r="J163" i="1"/>
  <c r="J166" i="1"/>
  <c r="K105" i="1"/>
  <c r="K115" i="1"/>
  <c r="K122" i="1"/>
  <c r="K126" i="1"/>
  <c r="P126" i="1" s="1"/>
  <c r="K127" i="1"/>
  <c r="P127" i="1" s="1"/>
  <c r="K128" i="1"/>
  <c r="P128" i="1" s="1"/>
  <c r="K129" i="1"/>
  <c r="P129" i="1" s="1"/>
  <c r="J105" i="1"/>
  <c r="J108" i="1"/>
  <c r="J111" i="1"/>
  <c r="J112" i="1"/>
  <c r="J115" i="1"/>
  <c r="J118" i="1"/>
  <c r="J121" i="1"/>
  <c r="J122" i="1"/>
  <c r="J129" i="1"/>
  <c r="J131" i="1"/>
  <c r="J59" i="1"/>
  <c r="J60" i="1"/>
  <c r="J61" i="1"/>
  <c r="J62" i="1"/>
  <c r="J70" i="1"/>
  <c r="J94" i="1"/>
  <c r="J18" i="1"/>
  <c r="J21" i="1"/>
  <c r="J22" i="1"/>
  <c r="J23" i="1"/>
  <c r="J24" i="1"/>
  <c r="J28" i="1"/>
  <c r="J43" i="1"/>
  <c r="J45" i="1"/>
  <c r="J47" i="1"/>
  <c r="J14" i="1"/>
  <c r="J15" i="1"/>
  <c r="P223" i="1" l="1"/>
  <c r="O231" i="1"/>
  <c r="P231" i="1"/>
  <c r="O221" i="1"/>
  <c r="P221" i="1"/>
  <c r="O226" i="1"/>
  <c r="P226" i="1"/>
  <c r="O230" i="1"/>
  <c r="P230" i="1"/>
  <c r="O241" i="1"/>
  <c r="P241" i="1"/>
  <c r="P238" i="1"/>
  <c r="P229" i="1"/>
  <c r="O229" i="1"/>
  <c r="P228" i="1"/>
  <c r="O228" i="1"/>
  <c r="O224" i="1"/>
  <c r="P224" i="1"/>
  <c r="O227" i="1"/>
  <c r="P227" i="1"/>
  <c r="O645" i="1"/>
  <c r="P645" i="1"/>
  <c r="P691" i="1"/>
  <c r="O691" i="1"/>
  <c r="P743" i="1"/>
  <c r="P838" i="1"/>
  <c r="O838" i="1"/>
  <c r="P673" i="1"/>
  <c r="O673" i="1"/>
  <c r="O658" i="1"/>
  <c r="P658" i="1"/>
  <c r="O643" i="1"/>
  <c r="P643" i="1"/>
  <c r="O754" i="1"/>
  <c r="P754" i="1"/>
  <c r="P740" i="1"/>
  <c r="O740" i="1"/>
  <c r="O847" i="1"/>
  <c r="P847" i="1"/>
  <c r="O837" i="1"/>
  <c r="P837" i="1"/>
  <c r="P827" i="1"/>
  <c r="O853" i="1"/>
  <c r="P853" i="1"/>
  <c r="O801" i="1"/>
  <c r="P801" i="1"/>
  <c r="O644" i="1"/>
  <c r="P644" i="1"/>
  <c r="O672" i="1"/>
  <c r="P672" i="1"/>
  <c r="P655" i="1"/>
  <c r="O655" i="1"/>
  <c r="P640" i="1"/>
  <c r="O846" i="1"/>
  <c r="P846" i="1"/>
  <c r="P836" i="1"/>
  <c r="O826" i="1"/>
  <c r="P826" i="1"/>
  <c r="O839" i="1"/>
  <c r="P839" i="1"/>
  <c r="O659" i="1"/>
  <c r="P659" i="1"/>
  <c r="P671" i="1"/>
  <c r="O671" i="1"/>
  <c r="P652" i="1"/>
  <c r="O652" i="1"/>
  <c r="O634" i="1"/>
  <c r="P634" i="1"/>
  <c r="O752" i="1"/>
  <c r="P752" i="1"/>
  <c r="P845" i="1"/>
  <c r="O845" i="1"/>
  <c r="O835" i="1"/>
  <c r="P835" i="1"/>
  <c r="O855" i="1"/>
  <c r="P855" i="1"/>
  <c r="P666" i="1"/>
  <c r="P651" i="1"/>
  <c r="O651" i="1"/>
  <c r="P632" i="1"/>
  <c r="P737" i="1"/>
  <c r="O737" i="1"/>
  <c r="O844" i="1"/>
  <c r="P844" i="1"/>
  <c r="P834" i="1"/>
  <c r="O834" i="1"/>
  <c r="O660" i="1"/>
  <c r="P660" i="1"/>
  <c r="O829" i="1"/>
  <c r="P829" i="1"/>
  <c r="P854" i="1"/>
  <c r="O854" i="1"/>
  <c r="O650" i="1"/>
  <c r="P650" i="1"/>
  <c r="P631" i="1"/>
  <c r="O631" i="1"/>
  <c r="P746" i="1"/>
  <c r="O736" i="1"/>
  <c r="P736" i="1"/>
  <c r="O841" i="1"/>
  <c r="P841" i="1"/>
  <c r="P833" i="1"/>
  <c r="O833" i="1"/>
  <c r="O857" i="1"/>
  <c r="P857" i="1"/>
  <c r="O695" i="1"/>
  <c r="P695" i="1"/>
  <c r="P755" i="1"/>
  <c r="O703" i="1"/>
  <c r="P703" i="1"/>
  <c r="P661" i="1"/>
  <c r="O661" i="1"/>
  <c r="P649" i="1"/>
  <c r="O649" i="1"/>
  <c r="O745" i="1"/>
  <c r="P745" i="1"/>
  <c r="P840" i="1"/>
  <c r="O840" i="1"/>
  <c r="P830" i="1"/>
  <c r="O830" i="1"/>
  <c r="P856" i="1"/>
  <c r="J859" i="1"/>
  <c r="K859" i="1"/>
  <c r="K733" i="1"/>
  <c r="J733" i="1"/>
  <c r="J637" i="1"/>
  <c r="P626" i="1"/>
  <c r="K637" i="1"/>
  <c r="O500" i="1"/>
  <c r="P500" i="1"/>
  <c r="O479" i="1"/>
  <c r="P479" i="1"/>
  <c r="O459" i="1"/>
  <c r="P459" i="1"/>
  <c r="O451" i="1"/>
  <c r="P451" i="1"/>
  <c r="O467" i="1"/>
  <c r="P467" i="1"/>
  <c r="P464" i="1"/>
  <c r="O464" i="1"/>
  <c r="P545" i="1"/>
  <c r="O545" i="1"/>
  <c r="P504" i="1"/>
  <c r="O504" i="1"/>
  <c r="P461" i="1"/>
  <c r="O461" i="1"/>
  <c r="O544" i="1"/>
  <c r="P544" i="1"/>
  <c r="O460" i="1"/>
  <c r="P460" i="1"/>
  <c r="P523" i="1"/>
  <c r="O523" i="1"/>
  <c r="O497" i="1"/>
  <c r="P497" i="1"/>
  <c r="O475" i="1"/>
  <c r="P475" i="1"/>
  <c r="O458" i="1"/>
  <c r="P458" i="1"/>
  <c r="P450" i="1"/>
  <c r="O450" i="1"/>
  <c r="O506" i="1"/>
  <c r="P506" i="1"/>
  <c r="O455" i="1"/>
  <c r="P455" i="1"/>
  <c r="P483" i="1"/>
  <c r="O483" i="1"/>
  <c r="O452" i="1"/>
  <c r="P452" i="1"/>
  <c r="P515" i="1"/>
  <c r="O515" i="1"/>
  <c r="O493" i="1"/>
  <c r="P493" i="1"/>
  <c r="P473" i="1"/>
  <c r="O473" i="1"/>
  <c r="P457" i="1"/>
  <c r="K575" i="1"/>
  <c r="P575" i="1" s="1"/>
  <c r="O449" i="1"/>
  <c r="P449" i="1"/>
  <c r="O488" i="1"/>
  <c r="P488" i="1"/>
  <c r="O505" i="1"/>
  <c r="P505" i="1"/>
  <c r="P487" i="1"/>
  <c r="O487" i="1"/>
  <c r="P454" i="1"/>
  <c r="O453" i="1"/>
  <c r="P453" i="1"/>
  <c r="O503" i="1"/>
  <c r="P503" i="1"/>
  <c r="O480" i="1"/>
  <c r="P480" i="1"/>
  <c r="O514" i="1"/>
  <c r="P514" i="1"/>
  <c r="O492" i="1"/>
  <c r="P492" i="1"/>
  <c r="P471" i="1"/>
  <c r="O456" i="1"/>
  <c r="P456" i="1"/>
  <c r="J446" i="1"/>
  <c r="O378" i="1"/>
  <c r="P378" i="1"/>
  <c r="O320" i="1"/>
  <c r="P320" i="1"/>
  <c r="K446" i="1"/>
  <c r="P363" i="1"/>
  <c r="O335" i="1"/>
  <c r="P335" i="1"/>
  <c r="O327" i="1"/>
  <c r="P327" i="1"/>
  <c r="O329" i="1"/>
  <c r="P329" i="1"/>
  <c r="O336" i="1"/>
  <c r="P336" i="1"/>
  <c r="P402" i="1"/>
  <c r="O359" i="1"/>
  <c r="P359" i="1"/>
  <c r="O334" i="1"/>
  <c r="P334" i="1"/>
  <c r="O326" i="1"/>
  <c r="P326" i="1"/>
  <c r="P369" i="1"/>
  <c r="O369" i="1"/>
  <c r="O355" i="1"/>
  <c r="P355" i="1"/>
  <c r="P333" i="1"/>
  <c r="O333" i="1"/>
  <c r="O325" i="1"/>
  <c r="P325" i="1"/>
  <c r="P321" i="1"/>
  <c r="O321" i="1"/>
  <c r="P328" i="1"/>
  <c r="O328" i="1"/>
  <c r="P392" i="1"/>
  <c r="O392" i="1"/>
  <c r="O390" i="1"/>
  <c r="P390" i="1"/>
  <c r="O354" i="1"/>
  <c r="P354" i="1"/>
  <c r="P332" i="1"/>
  <c r="O332" i="1"/>
  <c r="P324" i="1"/>
  <c r="O337" i="1"/>
  <c r="P337" i="1"/>
  <c r="O387" i="1"/>
  <c r="P387" i="1"/>
  <c r="P340" i="1"/>
  <c r="O340" i="1"/>
  <c r="O331" i="1"/>
  <c r="P331" i="1"/>
  <c r="O323" i="1"/>
  <c r="P323" i="1"/>
  <c r="O428" i="1"/>
  <c r="P428" i="1"/>
  <c r="O386" i="1"/>
  <c r="P386" i="1"/>
  <c r="O338" i="1"/>
  <c r="P338" i="1"/>
  <c r="O330" i="1"/>
  <c r="P330" i="1"/>
  <c r="O322" i="1"/>
  <c r="P322" i="1"/>
  <c r="K313" i="1"/>
  <c r="J218" i="1"/>
  <c r="O115" i="1"/>
  <c r="P115" i="1"/>
  <c r="O105" i="1"/>
  <c r="P105" i="1"/>
  <c r="O122" i="1"/>
  <c r="P122" i="1"/>
  <c r="P604" i="1"/>
  <c r="O604" i="1"/>
  <c r="J804" i="1"/>
  <c r="K804" i="1"/>
  <c r="Q232" i="1" l="1"/>
  <c r="Q747" i="1"/>
  <c r="Q338" i="1"/>
  <c r="Q659" i="1"/>
  <c r="O313" i="1"/>
  <c r="P313" i="1"/>
  <c r="Q460" i="1"/>
  <c r="Q848" i="1"/>
  <c r="P637" i="1"/>
  <c r="O637" i="1"/>
  <c r="O733" i="1"/>
  <c r="P733" i="1"/>
  <c r="P804" i="1"/>
  <c r="O804" i="1"/>
  <c r="P859" i="1"/>
  <c r="O859" i="1"/>
  <c r="K947" i="1"/>
  <c r="J947" i="1"/>
  <c r="O575" i="1"/>
  <c r="O611" i="1"/>
  <c r="P611" i="1"/>
  <c r="O446" i="1"/>
  <c r="P446" i="1"/>
  <c r="J127" i="1"/>
  <c r="J126" i="1"/>
  <c r="J128" i="1"/>
  <c r="K972" i="1" l="1"/>
  <c r="J17" i="1"/>
  <c r="K148" i="1" l="1"/>
  <c r="K149" i="1"/>
  <c r="K151" i="1"/>
  <c r="K154" i="1"/>
  <c r="K155" i="1"/>
  <c r="K156" i="1"/>
  <c r="K157" i="1"/>
  <c r="K158" i="1"/>
  <c r="K159" i="1"/>
  <c r="K160" i="1"/>
  <c r="K161" i="1"/>
  <c r="K163" i="1"/>
  <c r="K166" i="1"/>
  <c r="K170" i="1"/>
  <c r="O156" i="1" l="1"/>
  <c r="P156" i="1"/>
  <c r="P166" i="1"/>
  <c r="O166" i="1"/>
  <c r="P155" i="1"/>
  <c r="O155" i="1"/>
  <c r="O157" i="1"/>
  <c r="P157" i="1"/>
  <c r="P163" i="1"/>
  <c r="O163" i="1"/>
  <c r="O154" i="1"/>
  <c r="P154" i="1"/>
  <c r="O161" i="1"/>
  <c r="P161" i="1"/>
  <c r="O151" i="1"/>
  <c r="P151" i="1"/>
  <c r="O158" i="1"/>
  <c r="P158" i="1"/>
  <c r="P149" i="1"/>
  <c r="O149" i="1"/>
  <c r="O170" i="1"/>
  <c r="P170" i="1"/>
  <c r="O160" i="1"/>
  <c r="P160" i="1"/>
  <c r="P159" i="1"/>
  <c r="O159" i="1"/>
  <c r="O148" i="1"/>
  <c r="P148" i="1"/>
  <c r="K150" i="1"/>
  <c r="P150" i="1" l="1"/>
  <c r="Q160" i="1" s="1"/>
  <c r="O150" i="1"/>
  <c r="K177" i="1"/>
  <c r="K182" i="1"/>
  <c r="K183" i="1"/>
  <c r="K187" i="1"/>
  <c r="K188" i="1"/>
  <c r="K189" i="1"/>
  <c r="K190" i="1"/>
  <c r="K191" i="1"/>
  <c r="K192" i="1"/>
  <c r="K194" i="1"/>
  <c r="K199" i="1"/>
  <c r="K201" i="1"/>
  <c r="K202" i="1"/>
  <c r="K204" i="1"/>
  <c r="K206" i="1"/>
  <c r="K207" i="1"/>
  <c r="K209" i="1"/>
  <c r="K212" i="1"/>
  <c r="K214" i="1"/>
  <c r="K215" i="1"/>
  <c r="K216" i="1"/>
  <c r="K118" i="1"/>
  <c r="P118" i="1" s="1"/>
  <c r="K121" i="1"/>
  <c r="K130" i="1"/>
  <c r="P130" i="1" s="1"/>
  <c r="K131" i="1"/>
  <c r="K135" i="1"/>
  <c r="K142" i="1"/>
  <c r="K54" i="1"/>
  <c r="K55" i="1"/>
  <c r="K56" i="1"/>
  <c r="K57" i="1"/>
  <c r="K60" i="1"/>
  <c r="K61" i="1"/>
  <c r="K62" i="1"/>
  <c r="K63" i="1"/>
  <c r="K64" i="1"/>
  <c r="K65" i="1"/>
  <c r="K66" i="1"/>
  <c r="K70" i="1"/>
  <c r="K74" i="1"/>
  <c r="K75" i="1"/>
  <c r="K79" i="1"/>
  <c r="K80" i="1"/>
  <c r="K83" i="1"/>
  <c r="K92" i="1"/>
  <c r="K93" i="1"/>
  <c r="K94" i="1"/>
  <c r="K98" i="1"/>
  <c r="K99" i="1"/>
  <c r="K81" i="1"/>
  <c r="K14" i="1"/>
  <c r="K16" i="1"/>
  <c r="K17" i="1"/>
  <c r="P17" i="1" s="1"/>
  <c r="K18" i="1"/>
  <c r="K20" i="1"/>
  <c r="K25" i="1"/>
  <c r="K26" i="1"/>
  <c r="K27" i="1"/>
  <c r="K28" i="1"/>
  <c r="K29" i="1"/>
  <c r="K33" i="1"/>
  <c r="K37" i="1"/>
  <c r="K38" i="1"/>
  <c r="K39" i="1"/>
  <c r="K40" i="1"/>
  <c r="K41" i="1"/>
  <c r="K42" i="1"/>
  <c r="K43" i="1"/>
  <c r="K44" i="1"/>
  <c r="K45" i="1"/>
  <c r="K46" i="1"/>
  <c r="K47" i="1"/>
  <c r="K48" i="1"/>
  <c r="K7" i="1"/>
  <c r="K30" i="1"/>
  <c r="K22" i="1"/>
  <c r="P66" i="1" l="1"/>
  <c r="O66" i="1"/>
  <c r="P65" i="1"/>
  <c r="O65" i="1"/>
  <c r="P83" i="1"/>
  <c r="O83" i="1"/>
  <c r="O64" i="1"/>
  <c r="P64" i="1"/>
  <c r="P54" i="1"/>
  <c r="O54" i="1"/>
  <c r="O80" i="1"/>
  <c r="P80" i="1"/>
  <c r="O63" i="1"/>
  <c r="P63" i="1"/>
  <c r="O93" i="1"/>
  <c r="P93" i="1"/>
  <c r="O81" i="1"/>
  <c r="P81" i="1"/>
  <c r="O99" i="1"/>
  <c r="P99" i="1"/>
  <c r="P75" i="1"/>
  <c r="O75" i="1"/>
  <c r="P61" i="1"/>
  <c r="O61" i="1"/>
  <c r="O92" i="1"/>
  <c r="P92" i="1"/>
  <c r="P79" i="1"/>
  <c r="O79" i="1"/>
  <c r="P98" i="1"/>
  <c r="O98" i="1"/>
  <c r="O74" i="1"/>
  <c r="P74" i="1"/>
  <c r="O60" i="1"/>
  <c r="P60" i="1"/>
  <c r="P56" i="1"/>
  <c r="O56" i="1"/>
  <c r="O55" i="1"/>
  <c r="P55" i="1"/>
  <c r="P62" i="1"/>
  <c r="O62" i="1"/>
  <c r="O94" i="1"/>
  <c r="P94" i="1"/>
  <c r="O70" i="1"/>
  <c r="P70" i="1"/>
  <c r="O57" i="1"/>
  <c r="P57" i="1"/>
  <c r="O183" i="1"/>
  <c r="P183" i="1"/>
  <c r="P204" i="1"/>
  <c r="O204" i="1"/>
  <c r="P189" i="1"/>
  <c r="O189" i="1"/>
  <c r="O201" i="1"/>
  <c r="P201" i="1"/>
  <c r="O216" i="1"/>
  <c r="P216" i="1"/>
  <c r="O202" i="1"/>
  <c r="P202" i="1"/>
  <c r="O188" i="1"/>
  <c r="P188" i="1"/>
  <c r="P212" i="1"/>
  <c r="O212" i="1"/>
  <c r="O194" i="1"/>
  <c r="P194" i="1"/>
  <c r="O182" i="1"/>
  <c r="P182" i="1"/>
  <c r="P187" i="1"/>
  <c r="O214" i="1"/>
  <c r="P214" i="1"/>
  <c r="O209" i="1"/>
  <c r="P209" i="1"/>
  <c r="O192" i="1"/>
  <c r="P192" i="1"/>
  <c r="O207" i="1"/>
  <c r="P207" i="1"/>
  <c r="O191" i="1"/>
  <c r="P191" i="1"/>
  <c r="P215" i="1"/>
  <c r="O215" i="1"/>
  <c r="O199" i="1"/>
  <c r="P199" i="1"/>
  <c r="P206" i="1"/>
  <c r="O190" i="1"/>
  <c r="P190" i="1"/>
  <c r="P142" i="1"/>
  <c r="O142" i="1"/>
  <c r="O135" i="1"/>
  <c r="P135" i="1"/>
  <c r="P131" i="1"/>
  <c r="O131" i="1"/>
  <c r="P121" i="1"/>
  <c r="O121" i="1"/>
  <c r="O22" i="1"/>
  <c r="P22" i="1"/>
  <c r="P44" i="1"/>
  <c r="O44" i="1"/>
  <c r="O30" i="1"/>
  <c r="P30" i="1"/>
  <c r="O16" i="1"/>
  <c r="P16" i="1"/>
  <c r="O28" i="1"/>
  <c r="P28" i="1"/>
  <c r="O42" i="1"/>
  <c r="P42" i="1"/>
  <c r="O27" i="1"/>
  <c r="P27" i="1"/>
  <c r="O45" i="1"/>
  <c r="P45" i="1"/>
  <c r="O49" i="1"/>
  <c r="P49" i="1"/>
  <c r="O26" i="1"/>
  <c r="P26" i="1"/>
  <c r="P33" i="1"/>
  <c r="O33" i="1"/>
  <c r="P48" i="1"/>
  <c r="O48" i="1"/>
  <c r="P25" i="1"/>
  <c r="O25" i="1"/>
  <c r="O43" i="1"/>
  <c r="P43" i="1"/>
  <c r="O41" i="1"/>
  <c r="P41" i="1"/>
  <c r="P20" i="1"/>
  <c r="O20" i="1"/>
  <c r="P177" i="1"/>
  <c r="O177" i="1"/>
  <c r="O37" i="1"/>
  <c r="P37" i="1"/>
  <c r="P14" i="1"/>
  <c r="O14" i="1"/>
  <c r="P7" i="1"/>
  <c r="O7" i="1"/>
  <c r="P40" i="1"/>
  <c r="O40" i="1"/>
  <c r="O47" i="1"/>
  <c r="P47" i="1"/>
  <c r="O39" i="1"/>
  <c r="P39" i="1"/>
  <c r="O46" i="1"/>
  <c r="P46" i="1"/>
  <c r="O38" i="1"/>
  <c r="P38" i="1"/>
  <c r="O18" i="1"/>
  <c r="P18" i="1"/>
  <c r="K9" i="1"/>
  <c r="K111" i="1"/>
  <c r="K197" i="1"/>
  <c r="K8" i="1"/>
  <c r="P8" i="1" s="1"/>
  <c r="K108" i="1"/>
  <c r="K181" i="1"/>
  <c r="K24" i="1"/>
  <c r="K180" i="1"/>
  <c r="K23" i="1"/>
  <c r="K186" i="1"/>
  <c r="K15" i="1"/>
  <c r="K10" i="1"/>
  <c r="K112" i="1"/>
  <c r="J42" i="1"/>
  <c r="J29" i="1"/>
  <c r="J41" i="1"/>
  <c r="J48" i="1"/>
  <c r="J40" i="1"/>
  <c r="J26" i="1"/>
  <c r="J39" i="1"/>
  <c r="J25" i="1"/>
  <c r="J46" i="1"/>
  <c r="J38" i="1"/>
  <c r="J16" i="1"/>
  <c r="J30" i="1"/>
  <c r="J37" i="1"/>
  <c r="J27" i="1"/>
  <c r="J44" i="1"/>
  <c r="J33" i="1"/>
  <c r="J20" i="1"/>
  <c r="K185" i="1"/>
  <c r="K59" i="1"/>
  <c r="K21" i="1"/>
  <c r="K101" i="1" l="1"/>
  <c r="P59" i="1"/>
  <c r="O59" i="1"/>
  <c r="K51" i="1"/>
  <c r="J51" i="1"/>
  <c r="P197" i="1"/>
  <c r="O186" i="1"/>
  <c r="P186" i="1"/>
  <c r="O180" i="1"/>
  <c r="P180" i="1"/>
  <c r="K218" i="1"/>
  <c r="P185" i="1"/>
  <c r="O185" i="1"/>
  <c r="P181" i="1"/>
  <c r="O181" i="1"/>
  <c r="O111" i="1"/>
  <c r="P111" i="1"/>
  <c r="O112" i="1"/>
  <c r="P112" i="1"/>
  <c r="P108" i="1"/>
  <c r="K145" i="1"/>
  <c r="Q65" i="1"/>
  <c r="O10" i="1"/>
  <c r="P10" i="1"/>
  <c r="P15" i="1"/>
  <c r="O15" i="1"/>
  <c r="P24" i="1"/>
  <c r="O24" i="1"/>
  <c r="O21" i="1"/>
  <c r="P21" i="1"/>
  <c r="O23" i="1"/>
  <c r="P23" i="1"/>
  <c r="O9" i="1"/>
  <c r="P9" i="1"/>
  <c r="J159" i="1"/>
  <c r="J56" i="1"/>
  <c r="J75" i="1"/>
  <c r="J57" i="1"/>
  <c r="J98" i="1"/>
  <c r="J149" i="1"/>
  <c r="J54" i="1"/>
  <c r="J92" i="1"/>
  <c r="J81" i="1"/>
  <c r="J152" i="1"/>
  <c r="J142" i="1"/>
  <c r="J64" i="1"/>
  <c r="J158" i="1"/>
  <c r="J79" i="1"/>
  <c r="J65" i="1"/>
  <c r="J99" i="1"/>
  <c r="J66" i="1"/>
  <c r="J135" i="1"/>
  <c r="J63" i="1"/>
  <c r="J93" i="1"/>
  <c r="J80" i="1"/>
  <c r="J74" i="1"/>
  <c r="J130" i="1"/>
  <c r="J170" i="1"/>
  <c r="J55" i="1"/>
  <c r="J83" i="1"/>
  <c r="P101" i="1" l="1"/>
  <c r="O101" i="1"/>
  <c r="Q26" i="1"/>
  <c r="Q115" i="1"/>
  <c r="Q191" i="1"/>
  <c r="J145" i="1"/>
  <c r="P145" i="1"/>
  <c r="O145" i="1"/>
  <c r="O218" i="1"/>
  <c r="P218" i="1"/>
  <c r="Q949" i="1" l="1"/>
  <c r="G954" i="1" s="1"/>
  <c r="G964" i="1" s="1"/>
  <c r="J8" i="1"/>
  <c r="J7" i="1"/>
  <c r="J10" i="1"/>
  <c r="J9" i="1"/>
  <c r="J627" i="1" l="1"/>
  <c r="J949" i="1" l="1"/>
  <c r="J969" i="1" s="1"/>
  <c r="N973" i="1"/>
  <c r="M973" i="1"/>
  <c r="L973" i="1"/>
  <c r="M946" i="1"/>
  <c r="H946" i="1"/>
  <c r="G946" i="1"/>
  <c r="N945" i="1"/>
  <c r="L945" i="1"/>
  <c r="L944" i="1"/>
  <c r="L943" i="1"/>
  <c r="N942" i="1"/>
  <c r="L942" i="1"/>
  <c r="L941" i="1"/>
  <c r="N936" i="1"/>
  <c r="L936" i="1"/>
  <c r="L934" i="1"/>
  <c r="L933" i="1"/>
  <c r="L932" i="1"/>
  <c r="N931" i="1"/>
  <c r="M931" i="1"/>
  <c r="L931" i="1"/>
  <c r="N930" i="1"/>
  <c r="M930" i="1"/>
  <c r="L930" i="1"/>
  <c r="N926" i="1"/>
  <c r="M926" i="1"/>
  <c r="L926" i="1"/>
  <c r="H938" i="1"/>
  <c r="L925" i="1"/>
  <c r="L923" i="1"/>
  <c r="L922" i="1"/>
  <c r="N921" i="1"/>
  <c r="M921" i="1"/>
  <c r="L921" i="1"/>
  <c r="N918" i="1"/>
  <c r="M918" i="1"/>
  <c r="H918" i="1"/>
  <c r="L917" i="1"/>
  <c r="L916" i="1"/>
  <c r="L914" i="1"/>
  <c r="L912" i="1"/>
  <c r="L909" i="1"/>
  <c r="L907" i="1"/>
  <c r="L906" i="1"/>
  <c r="L903" i="1"/>
  <c r="L898" i="1"/>
  <c r="N897" i="1"/>
  <c r="M897" i="1"/>
  <c r="L897" i="1"/>
  <c r="L896" i="1"/>
  <c r="L895" i="1"/>
  <c r="N894" i="1"/>
  <c r="M894" i="1"/>
  <c r="L894" i="1"/>
  <c r="N893" i="1"/>
  <c r="M893" i="1"/>
  <c r="L893" i="1"/>
  <c r="N889" i="1"/>
  <c r="M889" i="1"/>
  <c r="L889" i="1"/>
  <c r="H899" i="1"/>
  <c r="L888" i="1"/>
  <c r="L886" i="1"/>
  <c r="L885" i="1"/>
  <c r="N884" i="1"/>
  <c r="M884" i="1"/>
  <c r="L884" i="1"/>
  <c r="N883" i="1"/>
  <c r="M883" i="1"/>
  <c r="L883" i="1"/>
  <c r="H880" i="1"/>
  <c r="L878" i="1"/>
  <c r="L877" i="1"/>
  <c r="L876" i="1"/>
  <c r="N875" i="1"/>
  <c r="L875" i="1"/>
  <c r="L874" i="1"/>
  <c r="L873" i="1"/>
  <c r="N872" i="1"/>
  <c r="M872" i="1"/>
  <c r="L872" i="1"/>
  <c r="N871" i="1"/>
  <c r="M871" i="1"/>
  <c r="L871" i="1"/>
  <c r="N867" i="1"/>
  <c r="M867" i="1"/>
  <c r="L867" i="1"/>
  <c r="L864" i="1"/>
  <c r="L863" i="1"/>
  <c r="N862" i="1"/>
  <c r="M862" i="1"/>
  <c r="L862" i="1"/>
  <c r="L858" i="1"/>
  <c r="L857" i="1"/>
  <c r="L856" i="1"/>
  <c r="L855" i="1"/>
  <c r="N854" i="1"/>
  <c r="L854" i="1"/>
  <c r="L853" i="1"/>
  <c r="L852" i="1"/>
  <c r="L849" i="1"/>
  <c r="L848" i="1"/>
  <c r="L847" i="1"/>
  <c r="N846" i="1"/>
  <c r="M846" i="1"/>
  <c r="L846" i="1"/>
  <c r="N845" i="1"/>
  <c r="M845" i="1"/>
  <c r="L845" i="1"/>
  <c r="N841" i="1"/>
  <c r="M841" i="1"/>
  <c r="L841" i="1"/>
  <c r="L840" i="1"/>
  <c r="L839" i="1"/>
  <c r="L838" i="1"/>
  <c r="L837" i="1"/>
  <c r="L836" i="1"/>
  <c r="N835" i="1"/>
  <c r="M835" i="1"/>
  <c r="L835" i="1"/>
  <c r="L834" i="1"/>
  <c r="N833" i="1"/>
  <c r="M833" i="1"/>
  <c r="L833" i="1"/>
  <c r="N830" i="1"/>
  <c r="M830" i="1"/>
  <c r="H830" i="1"/>
  <c r="L829" i="1"/>
  <c r="L828" i="1"/>
  <c r="L827" i="1"/>
  <c r="L826" i="1"/>
  <c r="H823" i="1"/>
  <c r="L822" i="1"/>
  <c r="L821" i="1"/>
  <c r="M820" i="1"/>
  <c r="L820" i="1"/>
  <c r="L819" i="1"/>
  <c r="L818" i="1"/>
  <c r="N817" i="1"/>
  <c r="M817" i="1"/>
  <c r="L817" i="1"/>
  <c r="N816" i="1"/>
  <c r="M816" i="1"/>
  <c r="L816" i="1"/>
  <c r="N812" i="1"/>
  <c r="M812" i="1"/>
  <c r="L812" i="1"/>
  <c r="L811" i="1"/>
  <c r="L810" i="1"/>
  <c r="L809" i="1"/>
  <c r="L808" i="1"/>
  <c r="N807" i="1"/>
  <c r="M807" i="1"/>
  <c r="L807" i="1"/>
  <c r="L803" i="1"/>
  <c r="N801" i="1"/>
  <c r="L801" i="1"/>
  <c r="L790" i="1"/>
  <c r="N784" i="1"/>
  <c r="M784" i="1"/>
  <c r="L784" i="1"/>
  <c r="L783" i="1"/>
  <c r="L782" i="1"/>
  <c r="L781" i="1"/>
  <c r="L780" i="1"/>
  <c r="M779" i="1"/>
  <c r="L779" i="1"/>
  <c r="N758" i="1"/>
  <c r="L758" i="1"/>
  <c r="L756" i="1"/>
  <c r="L755" i="1"/>
  <c r="L754" i="1"/>
  <c r="N753" i="1"/>
  <c r="M753" i="1"/>
  <c r="L753" i="1"/>
  <c r="L752" i="1"/>
  <c r="L747" i="1"/>
  <c r="L746" i="1"/>
  <c r="N745" i="1"/>
  <c r="M745" i="1"/>
  <c r="L745" i="1"/>
  <c r="N744" i="1"/>
  <c r="M744" i="1"/>
  <c r="L744" i="1"/>
  <c r="N740" i="1"/>
  <c r="M740" i="1"/>
  <c r="L740" i="1"/>
  <c r="L739" i="1"/>
  <c r="L738" i="1"/>
  <c r="L737" i="1"/>
  <c r="N736" i="1"/>
  <c r="M736" i="1"/>
  <c r="L736" i="1"/>
  <c r="L732" i="1"/>
  <c r="N731" i="1"/>
  <c r="L731" i="1"/>
  <c r="N730" i="1"/>
  <c r="M730" i="1"/>
  <c r="L730" i="1"/>
  <c r="L729" i="1"/>
  <c r="L724" i="1"/>
  <c r="M723" i="1"/>
  <c r="L723" i="1"/>
  <c r="L711" i="1"/>
  <c r="L710" i="1"/>
  <c r="L709" i="1"/>
  <c r="L707" i="1"/>
  <c r="L703" i="1"/>
  <c r="N695" i="1"/>
  <c r="L695" i="1"/>
  <c r="L691" i="1"/>
  <c r="L673" i="1"/>
  <c r="L672" i="1"/>
  <c r="L671" i="1"/>
  <c r="N666" i="1"/>
  <c r="L666" i="1"/>
  <c r="L665" i="1"/>
  <c r="L661" i="1"/>
  <c r="L660" i="1"/>
  <c r="L659" i="1"/>
  <c r="L658" i="1"/>
  <c r="N655" i="1"/>
  <c r="M655" i="1"/>
  <c r="L655" i="1"/>
  <c r="N652" i="1"/>
  <c r="M652" i="1"/>
  <c r="L652" i="1"/>
  <c r="N650" i="1"/>
  <c r="M650" i="1"/>
  <c r="L650" i="1"/>
  <c r="H733" i="1"/>
  <c r="L649" i="1"/>
  <c r="L645" i="1"/>
  <c r="L644" i="1"/>
  <c r="N643" i="1"/>
  <c r="M643" i="1"/>
  <c r="L643" i="1"/>
  <c r="N640" i="1"/>
  <c r="M640" i="1"/>
  <c r="L640" i="1"/>
  <c r="N637" i="1"/>
  <c r="M637" i="1"/>
  <c r="H637" i="1"/>
  <c r="L634" i="1"/>
  <c r="L632" i="1"/>
  <c r="L631" i="1"/>
  <c r="N626" i="1"/>
  <c r="M626" i="1"/>
  <c r="L623" i="1"/>
  <c r="L626" i="1" s="1"/>
  <c r="N620" i="1"/>
  <c r="M620" i="1"/>
  <c r="H620" i="1"/>
  <c r="L617" i="1"/>
  <c r="L615" i="1"/>
  <c r="L614" i="1"/>
  <c r="L609" i="1"/>
  <c r="L607" i="1"/>
  <c r="L606" i="1"/>
  <c r="N604" i="1"/>
  <c r="M604" i="1"/>
  <c r="H604" i="1"/>
  <c r="L601" i="1"/>
  <c r="L604" i="1" s="1"/>
  <c r="M598" i="1"/>
  <c r="H598" i="1"/>
  <c r="L597" i="1"/>
  <c r="L596" i="1"/>
  <c r="L595" i="1"/>
  <c r="N594" i="1"/>
  <c r="L594" i="1"/>
  <c r="L592" i="1"/>
  <c r="L591" i="1"/>
  <c r="L590" i="1"/>
  <c r="L587" i="1"/>
  <c r="L583" i="1"/>
  <c r="L582" i="1"/>
  <c r="L581" i="1"/>
  <c r="N580" i="1"/>
  <c r="L580" i="1"/>
  <c r="L579" i="1"/>
  <c r="N578" i="1"/>
  <c r="L578" i="1"/>
  <c r="N575" i="1"/>
  <c r="M575" i="1"/>
  <c r="L570" i="1"/>
  <c r="L566" i="1"/>
  <c r="L565" i="1"/>
  <c r="L564" i="1"/>
  <c r="L558" i="1"/>
  <c r="L557" i="1"/>
  <c r="L554" i="1"/>
  <c r="L553" i="1"/>
  <c r="L548" i="1"/>
  <c r="L545" i="1"/>
  <c r="L544" i="1"/>
  <c r="L532" i="1"/>
  <c r="L523" i="1"/>
  <c r="L515" i="1"/>
  <c r="L514" i="1"/>
  <c r="L506" i="1"/>
  <c r="L505" i="1"/>
  <c r="L504" i="1"/>
  <c r="L503" i="1"/>
  <c r="L500" i="1"/>
  <c r="L497" i="1"/>
  <c r="L493" i="1"/>
  <c r="L492" i="1"/>
  <c r="L488" i="1"/>
  <c r="L487" i="1"/>
  <c r="L483" i="1"/>
  <c r="L480" i="1"/>
  <c r="L479" i="1"/>
  <c r="L475" i="1"/>
  <c r="L473" i="1"/>
  <c r="L471" i="1"/>
  <c r="L467" i="1"/>
  <c r="L464" i="1"/>
  <c r="L461" i="1"/>
  <c r="L460" i="1"/>
  <c r="L459" i="1"/>
  <c r="L458" i="1"/>
  <c r="L457" i="1"/>
  <c r="L455" i="1"/>
  <c r="L454" i="1"/>
  <c r="L453" i="1"/>
  <c r="L452" i="1"/>
  <c r="L451" i="1"/>
  <c r="L450" i="1"/>
  <c r="L449" i="1"/>
  <c r="N446" i="1"/>
  <c r="M446" i="1"/>
  <c r="L440" i="1"/>
  <c r="L428" i="1"/>
  <c r="L426" i="1"/>
  <c r="L422" i="1"/>
  <c r="L421" i="1"/>
  <c r="L420" i="1"/>
  <c r="L419" i="1"/>
  <c r="L418" i="1"/>
  <c r="L416" i="1"/>
  <c r="L413" i="1"/>
  <c r="L412" i="1"/>
  <c r="L409" i="1"/>
  <c r="L407" i="1"/>
  <c r="L404" i="1"/>
  <c r="L403" i="1"/>
  <c r="L402" i="1"/>
  <c r="L392" i="1"/>
  <c r="L390" i="1"/>
  <c r="L387" i="1"/>
  <c r="L386" i="1"/>
  <c r="L378" i="1"/>
  <c r="L369" i="1"/>
  <c r="L363" i="1"/>
  <c r="L359" i="1"/>
  <c r="L355" i="1"/>
  <c r="L354" i="1"/>
  <c r="L340" i="1"/>
  <c r="L338" i="1"/>
  <c r="L337" i="1"/>
  <c r="L336" i="1"/>
  <c r="L335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N317" i="1"/>
  <c r="M317" i="1"/>
  <c r="H317" i="1"/>
  <c r="L316" i="1"/>
  <c r="L317" i="1" s="1"/>
  <c r="N313" i="1"/>
  <c r="M313" i="1"/>
  <c r="L305" i="1"/>
  <c r="L290" i="1"/>
  <c r="L285" i="1"/>
  <c r="L283" i="1"/>
  <c r="L277" i="1"/>
  <c r="L276" i="1"/>
  <c r="L273" i="1"/>
  <c r="L270" i="1"/>
  <c r="L257" i="1"/>
  <c r="L253" i="1"/>
  <c r="L250" i="1"/>
  <c r="L248" i="1"/>
  <c r="L247" i="1"/>
  <c r="L246" i="1"/>
  <c r="L245" i="1"/>
  <c r="L241" i="1"/>
  <c r="L238" i="1"/>
  <c r="L233" i="1"/>
  <c r="L232" i="1"/>
  <c r="L231" i="1"/>
  <c r="L230" i="1"/>
  <c r="L229" i="1"/>
  <c r="L227" i="1"/>
  <c r="L226" i="1"/>
  <c r="L224" i="1"/>
  <c r="L223" i="1"/>
  <c r="L222" i="1"/>
  <c r="L221" i="1"/>
  <c r="N218" i="1"/>
  <c r="M218" i="1"/>
  <c r="L217" i="1"/>
  <c r="L216" i="1"/>
  <c r="L215" i="1"/>
  <c r="L214" i="1"/>
  <c r="L212" i="1"/>
  <c r="L209" i="1"/>
  <c r="L207" i="1"/>
  <c r="L206" i="1"/>
  <c r="L204" i="1"/>
  <c r="L202" i="1"/>
  <c r="L201" i="1"/>
  <c r="L199" i="1"/>
  <c r="L197" i="1"/>
  <c r="L194" i="1"/>
  <c r="L192" i="1"/>
  <c r="L191" i="1"/>
  <c r="L190" i="1"/>
  <c r="L189" i="1"/>
  <c r="L188" i="1"/>
  <c r="L186" i="1"/>
  <c r="L185" i="1"/>
  <c r="L183" i="1"/>
  <c r="L182" i="1"/>
  <c r="L181" i="1"/>
  <c r="L180" i="1"/>
  <c r="L179" i="1"/>
  <c r="N177" i="1"/>
  <c r="M177" i="1"/>
  <c r="L173" i="1"/>
  <c r="L170" i="1"/>
  <c r="L166" i="1"/>
  <c r="L163" i="1"/>
  <c r="L161" i="1"/>
  <c r="L160" i="1"/>
  <c r="L159" i="1"/>
  <c r="L158" i="1"/>
  <c r="L157" i="1"/>
  <c r="L155" i="1"/>
  <c r="L154" i="1"/>
  <c r="L153" i="1"/>
  <c r="L151" i="1"/>
  <c r="L150" i="1"/>
  <c r="L149" i="1"/>
  <c r="L148" i="1"/>
  <c r="N145" i="1"/>
  <c r="M145" i="1"/>
  <c r="L143" i="1"/>
  <c r="L142" i="1"/>
  <c r="L135" i="1"/>
  <c r="L131" i="1"/>
  <c r="L122" i="1"/>
  <c r="L121" i="1"/>
  <c r="N101" i="1"/>
  <c r="M101" i="1"/>
  <c r="L100" i="1"/>
  <c r="L99" i="1"/>
  <c r="L98" i="1"/>
  <c r="L94" i="1"/>
  <c r="L93" i="1"/>
  <c r="L92" i="1"/>
  <c r="L83" i="1"/>
  <c r="L81" i="1"/>
  <c r="L80" i="1"/>
  <c r="L79" i="1"/>
  <c r="L75" i="1"/>
  <c r="L74" i="1"/>
  <c r="L70" i="1"/>
  <c r="L66" i="1"/>
  <c r="L65" i="1"/>
  <c r="L64" i="1"/>
  <c r="L63" i="1"/>
  <c r="L62" i="1"/>
  <c r="L60" i="1"/>
  <c r="H101" i="1"/>
  <c r="L59" i="1"/>
  <c r="L57" i="1"/>
  <c r="L56" i="1"/>
  <c r="L55" i="1"/>
  <c r="L54" i="1"/>
  <c r="N51" i="1"/>
  <c r="M51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3" i="1"/>
  <c r="L30" i="1"/>
  <c r="L28" i="1"/>
  <c r="L27" i="1"/>
  <c r="L26" i="1"/>
  <c r="L25" i="1"/>
  <c r="L24" i="1"/>
  <c r="L23" i="1"/>
  <c r="L21" i="1"/>
  <c r="H51" i="1"/>
  <c r="L20" i="1"/>
  <c r="L18" i="1"/>
  <c r="L17" i="1"/>
  <c r="L16" i="1"/>
  <c r="L15" i="1"/>
  <c r="L14" i="1"/>
  <c r="N11" i="1"/>
  <c r="M11" i="1"/>
  <c r="K11" i="1"/>
  <c r="H11" i="1"/>
  <c r="L10" i="1"/>
  <c r="L9" i="1"/>
  <c r="L8" i="1"/>
  <c r="L7" i="1"/>
  <c r="O946" i="1" l="1"/>
  <c r="P946" i="1"/>
  <c r="L620" i="1"/>
  <c r="O51" i="1"/>
  <c r="K627" i="1"/>
  <c r="K949" i="1" s="1"/>
  <c r="O11" i="1"/>
  <c r="P11" i="1"/>
  <c r="P51" i="1"/>
  <c r="O317" i="1"/>
  <c r="P317" i="1"/>
  <c r="L733" i="1"/>
  <c r="L611" i="1"/>
  <c r="N598" i="1"/>
  <c r="N627" i="1" s="1"/>
  <c r="M733" i="1"/>
  <c r="L637" i="1"/>
  <c r="L145" i="1"/>
  <c r="L11" i="1"/>
  <c r="N899" i="1"/>
  <c r="L446" i="1"/>
  <c r="M627" i="1"/>
  <c r="N733" i="1"/>
  <c r="L804" i="1"/>
  <c r="N823" i="1"/>
  <c r="M859" i="1"/>
  <c r="L938" i="1"/>
  <c r="N938" i="1"/>
  <c r="L946" i="1"/>
  <c r="N859" i="1"/>
  <c r="K974" i="1"/>
  <c r="L313" i="1"/>
  <c r="L880" i="1"/>
  <c r="N946" i="1"/>
  <c r="M938" i="1"/>
  <c r="L51" i="1"/>
  <c r="L101" i="1"/>
  <c r="L177" i="1"/>
  <c r="L598" i="1"/>
  <c r="M804" i="1"/>
  <c r="L859" i="1"/>
  <c r="M880" i="1"/>
  <c r="H218" i="1"/>
  <c r="N804" i="1"/>
  <c r="M823" i="1"/>
  <c r="L823" i="1"/>
  <c r="N880" i="1"/>
  <c r="L899" i="1"/>
  <c r="L918" i="1"/>
  <c r="L575" i="1"/>
  <c r="L218" i="1"/>
  <c r="L830" i="1"/>
  <c r="M899" i="1"/>
  <c r="H859" i="1"/>
  <c r="H947" i="1" l="1"/>
  <c r="G947" i="1"/>
  <c r="M947" i="1"/>
  <c r="M949" i="1" s="1"/>
  <c r="L627" i="1"/>
  <c r="H627" i="1"/>
  <c r="L947" i="1"/>
  <c r="N947" i="1"/>
  <c r="P947" i="1" l="1"/>
  <c r="H972" i="1"/>
  <c r="H974" i="1" s="1"/>
  <c r="H949" i="1"/>
  <c r="L972" i="1"/>
  <c r="L974" i="1" s="1"/>
  <c r="L949" i="1"/>
  <c r="L951" i="1" s="1"/>
  <c r="G949" i="1"/>
  <c r="G972" i="1"/>
  <c r="G974" i="1" s="1"/>
  <c r="M972" i="1"/>
  <c r="M974" i="1" s="1"/>
  <c r="N949" i="1"/>
  <c r="N972" i="1"/>
  <c r="N974" i="1" s="1"/>
  <c r="F95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Debra A. Shackett</author>
    <author>tc={33B84D16-735B-4378-8C52-CC3BCA939210}</author>
    <author>tc={8F3326BA-C0B7-4C7A-B318-F960842FF7D3}</author>
  </authors>
  <commentList>
    <comment ref="C288" authorId="0" shapeId="0" xr:uid="{C86A7AEF-6A1A-4567-AFE2-4F93CAAAC802}">
      <text>
        <r>
          <rPr>
            <b/>
            <sz val="9"/>
            <color indexed="81"/>
            <rFont val="Tahoma"/>
            <family val="2"/>
          </rPr>
          <t>Debra A. Shackett:</t>
        </r>
        <r>
          <rPr>
            <sz val="9"/>
            <color indexed="81"/>
            <rFont val="Tahoma"/>
            <family val="2"/>
          </rPr>
          <t xml:space="preserve">
1 goes to Nhome
</t>
        </r>
      </text>
    </comment>
    <comment ref="F306" authorId="0" shapeId="0" xr:uid="{A8F3690C-5F23-4311-ADF1-D35F0FD4CC8B}">
      <text>
        <r>
          <rPr>
            <b/>
            <sz val="9"/>
            <color indexed="81"/>
            <rFont val="Tahoma"/>
            <family val="2"/>
          </rPr>
          <t>Debra A. Shackett:</t>
        </r>
        <r>
          <rPr>
            <sz val="9"/>
            <color indexed="81"/>
            <rFont val="Tahoma"/>
            <family val="2"/>
          </rPr>
          <t xml:space="preserve">
1/3 in Nursing Home
</t>
        </r>
      </text>
    </comment>
    <comment ref="G331" authorId="1" shapeId="0" xr:uid="{33B84D16-735B-4378-8C52-CC3BCA939210}">
      <text>
        <t>[Threaded comment]
Your version of Excel allows you to read this threaded comment; however, any edits to it will get removed if the file is opened in a newer version of Excel. Learn more: https://go.microsoft.com/fwlink/?linkid=870924
Comment:
    COULD BE $3737</t>
      </text>
    </comment>
    <comment ref="C370" authorId="0" shapeId="0" xr:uid="{2F24B833-898A-4330-9267-9693F8420D87}">
      <text>
        <r>
          <rPr>
            <b/>
            <sz val="9"/>
            <color indexed="81"/>
            <rFont val="Tahoma"/>
            <family val="2"/>
          </rPr>
          <t>Debra A. Shackett:</t>
        </r>
        <r>
          <rPr>
            <sz val="9"/>
            <color indexed="81"/>
            <rFont val="Tahoma"/>
            <family val="2"/>
          </rPr>
          <t xml:space="preserve">
equipment in comm. shed</t>
        </r>
      </text>
    </comment>
    <comment ref="G449" authorId="0" shapeId="0" xr:uid="{48379EF2-5113-41DB-BC50-917746F9DE6C}">
      <text>
        <r>
          <rPr>
            <b/>
            <sz val="9"/>
            <color indexed="81"/>
            <rFont val="Tahoma"/>
            <family val="2"/>
          </rPr>
          <t>Debra A. Shackett:</t>
        </r>
        <r>
          <rPr>
            <sz val="9"/>
            <color indexed="81"/>
            <rFont val="Tahoma"/>
            <family val="2"/>
          </rPr>
          <t xml:space="preserve">
add $54515 for cba</t>
        </r>
      </text>
    </comment>
    <comment ref="J493" authorId="0" shapeId="0" xr:uid="{32005A89-BFC3-4F85-B4C3-2F119747D3EA}">
      <text>
        <r>
          <rPr>
            <b/>
            <sz val="9"/>
            <color indexed="81"/>
            <rFont val="Tahoma"/>
            <family val="2"/>
          </rPr>
          <t>Debra A. Shackett:</t>
        </r>
        <r>
          <rPr>
            <sz val="9"/>
            <color indexed="81"/>
            <rFont val="Tahoma"/>
            <family val="2"/>
          </rPr>
          <t xml:space="preserve">
$3900 locks</t>
        </r>
      </text>
    </comment>
    <comment ref="F785" authorId="0" shapeId="0" xr:uid="{5DC9DD83-11DE-47F0-B9F5-FF3A472D68BE}">
      <text>
        <r>
          <rPr>
            <b/>
            <sz val="9"/>
            <color indexed="81"/>
            <rFont val="Tahoma"/>
            <family val="2"/>
          </rPr>
          <t>Debra A. Shackett:</t>
        </r>
        <r>
          <rPr>
            <sz val="9"/>
            <color indexed="81"/>
            <rFont val="Tahoma"/>
            <family val="2"/>
          </rPr>
          <t xml:space="preserve">
move to ARPA
</t>
        </r>
      </text>
    </comment>
    <comment ref="G833" authorId="0" shapeId="0" xr:uid="{4AF0E6C6-15DB-42D6-92A1-3F0FE71D335F}">
      <text>
        <r>
          <rPr>
            <b/>
            <sz val="9"/>
            <color indexed="81"/>
            <rFont val="Tahoma"/>
            <family val="2"/>
          </rPr>
          <t>Debra A. Shackett:</t>
        </r>
        <r>
          <rPr>
            <sz val="9"/>
            <color indexed="81"/>
            <rFont val="Tahoma"/>
            <family val="2"/>
          </rPr>
          <t xml:space="preserve">
add $24041 for cba</t>
        </r>
      </text>
    </comment>
    <comment ref="G841" authorId="0" shapeId="0" xr:uid="{ABADB210-DED4-4334-8052-D7CB8D54027A}">
      <text>
        <r>
          <rPr>
            <b/>
            <sz val="9"/>
            <color indexed="81"/>
            <rFont val="Tahoma"/>
            <family val="2"/>
          </rPr>
          <t>Debra A. Shackett:</t>
        </r>
        <r>
          <rPr>
            <sz val="9"/>
            <color indexed="81"/>
            <rFont val="Tahoma"/>
            <family val="2"/>
          </rPr>
          <t xml:space="preserve">
adjusted for vacancies
</t>
        </r>
      </text>
    </comment>
    <comment ref="G856" authorId="0" shapeId="0" xr:uid="{0F942F00-8D6C-471E-B0AF-CBEFEF68AD08}">
      <text>
        <r>
          <rPr>
            <b/>
            <sz val="9"/>
            <color indexed="81"/>
            <rFont val="Tahoma"/>
            <family val="2"/>
          </rPr>
          <t>Debra A. Shackett:</t>
        </r>
        <r>
          <rPr>
            <sz val="9"/>
            <color indexed="81"/>
            <rFont val="Tahoma"/>
            <family val="2"/>
          </rPr>
          <t xml:space="preserve">
add $9200 for contract
</t>
        </r>
      </text>
    </comment>
    <comment ref="L950" authorId="2" shapeId="0" xr:uid="{8F3326BA-C0B7-4C7A-B318-F960842FF7D3}">
      <text>
        <t>[Threaded comment]
Your version of Excel allows you to read this threaded comment; however, any edits to it will get removed if the file is opened in a newer version of Excel. Learn more: https://go.microsoft.com/fwlink/?linkid=870924
Comment:
    Encumbered 2022</t>
      </text>
    </comment>
  </commentList>
</comments>
</file>

<file path=xl/sharedStrings.xml><?xml version="1.0" encoding="utf-8"?>
<sst xmlns="http://schemas.openxmlformats.org/spreadsheetml/2006/main" count="1093" uniqueCount="718">
  <si>
    <t>Budget Review</t>
  </si>
  <si>
    <t>% Change</t>
  </si>
  <si>
    <t xml:space="preserve">Committee </t>
  </si>
  <si>
    <t>Comm Rec.</t>
  </si>
  <si>
    <t>Dept Rec.</t>
  </si>
  <si>
    <t>ACTUALS</t>
  </si>
  <si>
    <t>BUDGET</t>
  </si>
  <si>
    <t>COUNTY CONVENTION</t>
  </si>
  <si>
    <t xml:space="preserve">DELEGATE MEETING FEES         </t>
  </si>
  <si>
    <t xml:space="preserve">LEGAL SERVICES                </t>
  </si>
  <si>
    <t xml:space="preserve">MEETING NOTICES               </t>
  </si>
  <si>
    <t xml:space="preserve">TRAVEL                        </t>
  </si>
  <si>
    <t>TOTAL</t>
  </si>
  <si>
    <t xml:space="preserve">COUNTY CONVENTION </t>
  </si>
  <si>
    <t>COUNTY ATTORNEY</t>
  </si>
  <si>
    <t xml:space="preserve">WAGES - FULL TIME             </t>
  </si>
  <si>
    <t xml:space="preserve">WAGES - PART TIME             </t>
  </si>
  <si>
    <t xml:space="preserve">WAGES - ELECTED OFFICIALS     </t>
  </si>
  <si>
    <t xml:space="preserve">WAGES - OVERTIME              </t>
  </si>
  <si>
    <t xml:space="preserve">HEALTH OPT OFF                </t>
  </si>
  <si>
    <t xml:space="preserve">SICK TIME INCENTIVE           </t>
  </si>
  <si>
    <t xml:space="preserve">LONGEVITY AWARD               </t>
  </si>
  <si>
    <t xml:space="preserve">HEALTH INSURANCE              </t>
  </si>
  <si>
    <t>DENTAL INSURANCE</t>
  </si>
  <si>
    <t xml:space="preserve">PAYROLL TAX                   </t>
  </si>
  <si>
    <t xml:space="preserve">RETIREMENT                    </t>
  </si>
  <si>
    <t xml:space="preserve">UNEMPLOYMENT INSURANCE        </t>
  </si>
  <si>
    <t xml:space="preserve">WORKERS' COMPENSATION         </t>
  </si>
  <si>
    <t>DUES</t>
  </si>
  <si>
    <t xml:space="preserve">TELECOMMUNICATIONS            </t>
  </si>
  <si>
    <t xml:space="preserve">DATA STORAGE                  </t>
  </si>
  <si>
    <t xml:space="preserve">SOFTWARE SUPPORT              </t>
  </si>
  <si>
    <t xml:space="preserve">MEDICAL EXAMINER              </t>
  </si>
  <si>
    <t xml:space="preserve">WITNESS &amp; LEGAL EXPERTS       </t>
  </si>
  <si>
    <t xml:space="preserve">EQUIPMENT-REPAIRS &amp; MAINT     </t>
  </si>
  <si>
    <t xml:space="preserve">COPIER LEASE/MAINT            </t>
  </si>
  <si>
    <t xml:space="preserve">PROPERTY &amp; LIABILITY INS      </t>
  </si>
  <si>
    <t xml:space="preserve">PRINTING                      </t>
  </si>
  <si>
    <t xml:space="preserve">ADVERTISING                   </t>
  </si>
  <si>
    <t xml:space="preserve">PROFESSIONAL DEVELOPMENT      </t>
  </si>
  <si>
    <t xml:space="preserve">OFFICE SUPPLIES               </t>
  </si>
  <si>
    <t xml:space="preserve">POSTAGE                       </t>
  </si>
  <si>
    <t xml:space="preserve">BOOKS/JOURNALS/PERIODICALS    </t>
  </si>
  <si>
    <t xml:space="preserve">NEW EQUIPMENT                 </t>
  </si>
  <si>
    <t xml:space="preserve">COUNTY ATTORNEY </t>
  </si>
  <si>
    <t>COUNTY ADMINISTRATION</t>
  </si>
  <si>
    <t xml:space="preserve">HEALTH OPT OFF/DOWN               </t>
  </si>
  <si>
    <t xml:space="preserve">RETIREMENT NHRS               </t>
  </si>
  <si>
    <t xml:space="preserve">EMPLOYEE RECOGNITION          </t>
  </si>
  <si>
    <t xml:space="preserve">AUDITING SERVICES             </t>
  </si>
  <si>
    <t xml:space="preserve">DUES &amp; SUBSCRIPTIONS          </t>
  </si>
  <si>
    <t xml:space="preserve">MEETING RECORDING             </t>
  </si>
  <si>
    <t xml:space="preserve">COUNTY ADMINISTRATION </t>
  </si>
  <si>
    <t>INFORMATION TECHNOLOGY</t>
  </si>
  <si>
    <t>PAYROLL TAX</t>
  </si>
  <si>
    <t xml:space="preserve">CONTRACTED I/T SERVICES       </t>
  </si>
  <si>
    <t xml:space="preserve">I/T-SYSTEM UPGRADE/PROJECT    </t>
  </si>
  <si>
    <t xml:space="preserve">RENEWALS &amp; HOSTING    </t>
  </si>
  <si>
    <t xml:space="preserve">ELEC EQUIP-REPAIRS &amp; MAINT    </t>
  </si>
  <si>
    <t xml:space="preserve">INFORMATION TECHNOLOGY </t>
  </si>
  <si>
    <t>FINANCE OFFICE</t>
  </si>
  <si>
    <t xml:space="preserve">HEALTH OPT OFF INCENTIVE      </t>
  </si>
  <si>
    <t xml:space="preserve">LONGEVITY                     </t>
  </si>
  <si>
    <t xml:space="preserve">BANK SERVICES                 </t>
  </si>
  <si>
    <t xml:space="preserve">FINANCE OFFICE </t>
  </si>
  <si>
    <t>REGISTRY OF DEEDS</t>
  </si>
  <si>
    <t xml:space="preserve">OPT OFF/DOWN INCENTIVE      </t>
  </si>
  <si>
    <t xml:space="preserve">INDEX/INTERNET SERVICES       </t>
  </si>
  <si>
    <t xml:space="preserve">FILE/DATA RESTORATION         </t>
  </si>
  <si>
    <t xml:space="preserve">MICROFILM                     </t>
  </si>
  <si>
    <t xml:space="preserve">EQUIPMENT RENTALS             </t>
  </si>
  <si>
    <t xml:space="preserve">GENERAL OPERATING SUPPLIES    </t>
  </si>
  <si>
    <t xml:space="preserve">REGISTRY OF DEEDS </t>
  </si>
  <si>
    <t>COUNTY MAINTENANCE</t>
  </si>
  <si>
    <t xml:space="preserve">HEALTH OPT OFF/DOWN </t>
  </si>
  <si>
    <t xml:space="preserve">CLEANING SERVICES             </t>
  </si>
  <si>
    <t xml:space="preserve">INTERNET SERVICE              </t>
  </si>
  <si>
    <t xml:space="preserve">CONTRACTED SERVICES           </t>
  </si>
  <si>
    <t xml:space="preserve">CUSTODIAL SUPPLIES            </t>
  </si>
  <si>
    <t xml:space="preserve">ELECTRICITY                   </t>
  </si>
  <si>
    <t xml:space="preserve">HEATING FUEL                  </t>
  </si>
  <si>
    <t xml:space="preserve">WATER &amp; SEWER                 </t>
  </si>
  <si>
    <t xml:space="preserve">COUNTY COMPLEX REPAIR/MAINT.  </t>
  </si>
  <si>
    <t xml:space="preserve">COURTHOUSE REPAIRS/MAINT.     </t>
  </si>
  <si>
    <t xml:space="preserve">GROUNDS &amp; LANDSCAPING         </t>
  </si>
  <si>
    <t xml:space="preserve">TRAINING                      </t>
  </si>
  <si>
    <t xml:space="preserve">UNIFORMS                      </t>
  </si>
  <si>
    <t xml:space="preserve">VEHICLE MAINT &amp; REPAIR        </t>
  </si>
  <si>
    <t xml:space="preserve">BUILDING IMPROVEMENTS         </t>
  </si>
  <si>
    <t xml:space="preserve">OTHER IMPROVEMENTS            </t>
  </si>
  <si>
    <t xml:space="preserve">COUNTY MAINTENANCE </t>
  </si>
  <si>
    <t>UNANTICIPATED EXP.</t>
  </si>
  <si>
    <t xml:space="preserve">UNANTICIPATED EXP </t>
  </si>
  <si>
    <t>UNANTICIPATED EXPENDITURES</t>
  </si>
  <si>
    <t>SHERIFF'S DEPARTMENT</t>
  </si>
  <si>
    <t xml:space="preserve">WAGES -FULL TIME              </t>
  </si>
  <si>
    <t xml:space="preserve">WAGES - F/T - DISPATCHERS     </t>
  </si>
  <si>
    <t xml:space="preserve">WAGES -PART TIME              </t>
  </si>
  <si>
    <t xml:space="preserve">WAGES - P/T - DISPATCHERS     </t>
  </si>
  <si>
    <t xml:space="preserve">WAGES - P/T - COURT SECURITY  </t>
  </si>
  <si>
    <t xml:space="preserve">WAGES - OUTSIDE DETAIL        </t>
  </si>
  <si>
    <t xml:space="preserve">WAGES - GRANT OT              </t>
  </si>
  <si>
    <t xml:space="preserve">WAGES - O/T - DISPATCHERS     </t>
  </si>
  <si>
    <t xml:space="preserve">BANK CREDIT CARD SERVICES     </t>
  </si>
  <si>
    <t xml:space="preserve">CABLE SERVICE                 </t>
  </si>
  <si>
    <t xml:space="preserve">SPECIAL OPERATIONS TEAM       </t>
  </si>
  <si>
    <t xml:space="preserve">COMMUNICATION EQUIP R &amp; M     </t>
  </si>
  <si>
    <t xml:space="preserve">REGISTRY OF DEEDS             </t>
  </si>
  <si>
    <t xml:space="preserve">GRANT PROGRAMS                </t>
  </si>
  <si>
    <t xml:space="preserve">UNIFORM ALLOWANCE             </t>
  </si>
  <si>
    <t xml:space="preserve">INVESTIGATION SUPPLIES        </t>
  </si>
  <si>
    <t xml:space="preserve">SAFETY/AMMUNITION SUPPLIES    </t>
  </si>
  <si>
    <t xml:space="preserve">PUBLIC RELATIONS              </t>
  </si>
  <si>
    <t xml:space="preserve">GASOLINE/DIESEL FUEL          </t>
  </si>
  <si>
    <t xml:space="preserve">VEHICLES / VEHICLE LEASE      </t>
  </si>
  <si>
    <t xml:space="preserve">SHERIFF'S DEPARTMENT </t>
  </si>
  <si>
    <t>CORRECTIONS DEPARTMENT</t>
  </si>
  <si>
    <t xml:space="preserve">CORE PROGRAM SERVICES         </t>
  </si>
  <si>
    <t xml:space="preserve">MENTAL HEALTH SVS             </t>
  </si>
  <si>
    <t xml:space="preserve">CHAPLAIN SERVICES             </t>
  </si>
  <si>
    <t xml:space="preserve">BARBER SERVICES               </t>
  </si>
  <si>
    <t xml:space="preserve">CONTRACTED NURSING SVS        </t>
  </si>
  <si>
    <t xml:space="preserve">CABLE  SERVICES               </t>
  </si>
  <si>
    <t xml:space="preserve">MEDICAL SERVICES/SUPPLIES     </t>
  </si>
  <si>
    <t xml:space="preserve">CONTRACTED MEDICAL SVS        </t>
  </si>
  <si>
    <t xml:space="preserve">MAT CLINICAL SVS              </t>
  </si>
  <si>
    <t xml:space="preserve">TEMPORARY INMATE HOUSING      </t>
  </si>
  <si>
    <t xml:space="preserve">LAUNDRY SERVICES              </t>
  </si>
  <si>
    <t xml:space="preserve">DIETARY SERVICES              </t>
  </si>
  <si>
    <t xml:space="preserve">CORE SUPPLIES                 </t>
  </si>
  <si>
    <t xml:space="preserve">PROGRAM COSTS                 </t>
  </si>
  <si>
    <t xml:space="preserve">CONTRACTED PHYSICIAN SERVICE  </t>
  </si>
  <si>
    <t xml:space="preserve">INMATE SUPPLIES               </t>
  </si>
  <si>
    <t xml:space="preserve">GARDEN PROGRAM-SUPPLY         </t>
  </si>
  <si>
    <t xml:space="preserve">CORRECTIONS DEPARTMENT </t>
  </si>
  <si>
    <t>RESTORATIVE JUSTICE</t>
  </si>
  <si>
    <t xml:space="preserve">DRUG SCREENING SUPPLIES       </t>
  </si>
  <si>
    <t xml:space="preserve">RESTORATIVE JUSTICE </t>
  </si>
  <si>
    <t>HEALTH &amp; HUMAN SERVICES</t>
  </si>
  <si>
    <t xml:space="preserve">DHHS-NURSING HOME CARE        </t>
  </si>
  <si>
    <t>IDN</t>
  </si>
  <si>
    <t xml:space="preserve">HEALTH &amp; HUMAN SERVICE </t>
  </si>
  <si>
    <t xml:space="preserve">UNH CO-OP EXTENSION           </t>
  </si>
  <si>
    <t xml:space="preserve">B.C. CONSERVATION DISTRICT    </t>
  </si>
  <si>
    <t xml:space="preserve">LR MENTAL HEALTH CTR          </t>
  </si>
  <si>
    <t xml:space="preserve">COMMUNTIY ACTION PROGRAM      </t>
  </si>
  <si>
    <t xml:space="preserve">OUTSIDE AGENCIES </t>
  </si>
  <si>
    <t>DEBT SERVICE</t>
  </si>
  <si>
    <t xml:space="preserve">PROFESSIONAL SERVICES         </t>
  </si>
  <si>
    <t xml:space="preserve">DEBT SERVICE - PRINCIPAL      </t>
  </si>
  <si>
    <t xml:space="preserve">DEBT SERVICE - INTEREST       </t>
  </si>
  <si>
    <t xml:space="preserve">DEBT SERVICE </t>
  </si>
  <si>
    <t>CAPITAL PROJECTS / IMPROVEMENT</t>
  </si>
  <si>
    <t xml:space="preserve">CAPITAL PROJECTS/EXPENDITURES </t>
  </si>
  <si>
    <t xml:space="preserve">CAPITAL PROJECTS / IMP </t>
  </si>
  <si>
    <t xml:space="preserve">GENERAL FUND </t>
  </si>
  <si>
    <t>NURSING HOME</t>
  </si>
  <si>
    <t>NH - DEBT SERVICE</t>
  </si>
  <si>
    <t xml:space="preserve">NH - DEBT SERVICE </t>
  </si>
  <si>
    <t>NH - ADMINISTRATION</t>
  </si>
  <si>
    <t xml:space="preserve">NH BED TAX-PROVIDER ASSESMENT </t>
  </si>
  <si>
    <t>I/T-RENEWALS &amp; HOSTING</t>
  </si>
  <si>
    <t xml:space="preserve">PRE-EMPLOYMENT SCREENING      </t>
  </si>
  <si>
    <t xml:space="preserve">COMPUTER EQUIPMENT            </t>
  </si>
  <si>
    <t xml:space="preserve">NH - ADMINISTRATION </t>
  </si>
  <si>
    <t>NH - MAINTENANCE</t>
  </si>
  <si>
    <t xml:space="preserve">CABLE SERVICES                </t>
  </si>
  <si>
    <t xml:space="preserve">MAINTENANCE &amp; REPAIRS         </t>
  </si>
  <si>
    <t xml:space="preserve">UNIFORM                       </t>
  </si>
  <si>
    <t xml:space="preserve">FURNITURE &amp; FIXTURES          </t>
  </si>
  <si>
    <t xml:space="preserve">NH - MAINTENANCE </t>
  </si>
  <si>
    <t>NH - REHABILITATION SERVICES</t>
  </si>
  <si>
    <t xml:space="preserve">NH - REHABILITATION SE </t>
  </si>
  <si>
    <t>NH - DIETARY DEPARTMENT</t>
  </si>
  <si>
    <t xml:space="preserve">CONTRACTED DIETARY SVS        </t>
  </si>
  <si>
    <t xml:space="preserve">DIETARY SUPPLEMENTS/SUPPLIES  </t>
  </si>
  <si>
    <t xml:space="preserve">MAINT &amp; REPAIR-DIET. EQUIP.   </t>
  </si>
  <si>
    <t xml:space="preserve">NH - DIETARY DEPARTMEN </t>
  </si>
  <si>
    <t>NH - NURSING DEPARTMENT</t>
  </si>
  <si>
    <t xml:space="preserve">WAGES - INCENTIVE PAY         </t>
  </si>
  <si>
    <t xml:space="preserve">WAGES - OFFICE                </t>
  </si>
  <si>
    <t xml:space="preserve">RECRUITMENT                   </t>
  </si>
  <si>
    <t xml:space="preserve">SUPPLIES - OXYGEN             </t>
  </si>
  <si>
    <t xml:space="preserve">INTERDEPARTMENT ALLOCATATION  </t>
  </si>
  <si>
    <t xml:space="preserve">NH - NURSING DEPARTMEN </t>
  </si>
  <si>
    <t>NH - LAUNDRY</t>
  </si>
  <si>
    <t xml:space="preserve">SUPPLIES - BED LINEN          </t>
  </si>
  <si>
    <t xml:space="preserve">NH - LAUNDRY </t>
  </si>
  <si>
    <t>NH - HOUSEKEEPING DEPT</t>
  </si>
  <si>
    <t xml:space="preserve">NH - HOUSEKEEPING DEPT </t>
  </si>
  <si>
    <t>NH - PHYSICIANS, PHARMACY</t>
  </si>
  <si>
    <t xml:space="preserve">PHYSICIANS                    </t>
  </si>
  <si>
    <t xml:space="preserve">DRUG REVIEW                   </t>
  </si>
  <si>
    <t xml:space="preserve">MEDICINE                      </t>
  </si>
  <si>
    <t xml:space="preserve">DENTIST                       </t>
  </si>
  <si>
    <t>MEDICARE A REIMBURSABLE SERVIC</t>
  </si>
  <si>
    <t>MEDICARE B REIMBURSABLE SERVIC</t>
  </si>
  <si>
    <t xml:space="preserve">AMBULANCE SERVICE             </t>
  </si>
  <si>
    <t xml:space="preserve">PANDEMIC TESTING              </t>
  </si>
  <si>
    <t xml:space="preserve">NH - PHYSICIANS, PHARM </t>
  </si>
  <si>
    <t>NH - ACTIVITIES DEPARTMENT</t>
  </si>
  <si>
    <t xml:space="preserve">ENTERTAINMENT                 </t>
  </si>
  <si>
    <t xml:space="preserve">NH - ACTIVITIES DEPART </t>
  </si>
  <si>
    <t>NH - HAIRDRESSING</t>
  </si>
  <si>
    <t xml:space="preserve">NH - HAIRDRESSING </t>
  </si>
  <si>
    <t xml:space="preserve">NURSING HOME </t>
  </si>
  <si>
    <t>OPERATING</t>
  </si>
  <si>
    <t>NH Net Taxpayer Cost:</t>
  </si>
  <si>
    <t>Expense</t>
  </si>
  <si>
    <t>Revenue</t>
  </si>
  <si>
    <t>Taxes</t>
  </si>
  <si>
    <t>2024</t>
  </si>
  <si>
    <t>2023 Rev.</t>
  </si>
  <si>
    <t>23 vs 24</t>
  </si>
  <si>
    <t>HEALTH OPT OFF/DOWN</t>
  </si>
  <si>
    <t>TELECOMMUNICATIONS</t>
  </si>
  <si>
    <t>ACCOUNTING SYSTEM</t>
  </si>
  <si>
    <t>TIMEKEEPING SYSTEM</t>
  </si>
  <si>
    <t>MS OFFICE</t>
  </si>
  <si>
    <t>OFFSITE BACKUP</t>
  </si>
  <si>
    <t>PHONE SYSTEM MAINT</t>
  </si>
  <si>
    <t xml:space="preserve">BUILDING IMPROVEMENTS      </t>
  </si>
  <si>
    <t>025180</t>
  </si>
  <si>
    <t>LABORATORY SVS</t>
  </si>
  <si>
    <t>Review Dates:</t>
  </si>
  <si>
    <t>TRASH DISPOSAL/RECYCLING</t>
  </si>
  <si>
    <t>PEST CONTROL SERVICES</t>
  </si>
  <si>
    <t>JAIL LOCK MAINTENANCE</t>
  </si>
  <si>
    <t>SAFETY SYSTEMS MAINT.</t>
  </si>
  <si>
    <t>CASA</t>
  </si>
  <si>
    <t xml:space="preserve">EXTRADITION          </t>
  </si>
  <si>
    <t>Travel</t>
  </si>
  <si>
    <t>Tower Rental Fees</t>
  </si>
  <si>
    <t>IT Equipment</t>
  </si>
  <si>
    <t>CAPITAL PROJECTS</t>
  </si>
  <si>
    <t>TRAVEL</t>
  </si>
  <si>
    <t>PEST SERVICES</t>
  </si>
  <si>
    <t>CHANGE</t>
  </si>
  <si>
    <t xml:space="preserve">GRANTS                        </t>
  </si>
  <si>
    <t xml:space="preserve">MISCELLANEOUS                 </t>
  </si>
  <si>
    <t xml:space="preserve">TAXES - MUNICIPALITIES        </t>
  </si>
  <si>
    <t xml:space="preserve">GUNSTOCK                      </t>
  </si>
  <si>
    <t xml:space="preserve">TRANSFERS FROM CAPITAL - ARPA </t>
  </si>
  <si>
    <t xml:space="preserve">UNANTICIPATED                 </t>
  </si>
  <si>
    <t xml:space="preserve">RENTAL INCOME                 </t>
  </si>
  <si>
    <t xml:space="preserve">INSURANCE REBATE/REIMBURSE    </t>
  </si>
  <si>
    <t xml:space="preserve">OPIOID ABATEMENT TRUST FUND   </t>
  </si>
  <si>
    <t xml:space="preserve">INTEREST EARNED               </t>
  </si>
  <si>
    <t xml:space="preserve">UNDESIGNATED FUND BALANCE     </t>
  </si>
  <si>
    <t xml:space="preserve">REAL ESTATE TRANSFER TAX      </t>
  </si>
  <si>
    <t xml:space="preserve">EQUIPMENT REIMBURSEMENT       </t>
  </si>
  <si>
    <t xml:space="preserve">LCHIP FEES                    </t>
  </si>
  <si>
    <t xml:space="preserve">MISCELLANEOUS INCOME          </t>
  </si>
  <si>
    <t xml:space="preserve">SHERIFF'S FEES                </t>
  </si>
  <si>
    <t xml:space="preserve">COURT SECURITY                </t>
  </si>
  <si>
    <t xml:space="preserve">OUTSIDE DETAIL                </t>
  </si>
  <si>
    <t xml:space="preserve">DISPATCH SERVICES             </t>
  </si>
  <si>
    <t xml:space="preserve">JOINT OPERATIONS              </t>
  </si>
  <si>
    <t xml:space="preserve">INMATE REIMBURSEMENTS         </t>
  </si>
  <si>
    <t xml:space="preserve">WORK RELEASE                  </t>
  </si>
  <si>
    <t xml:space="preserve">TELEPHONE COMMISSION          </t>
  </si>
  <si>
    <t xml:space="preserve">INMATE GARDEN PROGRAM         </t>
  </si>
  <si>
    <t xml:space="preserve">ELECTRONIC MONITORING         </t>
  </si>
  <si>
    <t xml:space="preserve">COMMISSARY INCOME             </t>
  </si>
  <si>
    <t xml:space="preserve">PROGRAM FEES                  </t>
  </si>
  <si>
    <t xml:space="preserve">STATE INCENTIVE FUNDS         </t>
  </si>
  <si>
    <t xml:space="preserve">HHS RECOVERIES                </t>
  </si>
  <si>
    <t xml:space="preserve">PROSHARE                      </t>
  </si>
  <si>
    <t xml:space="preserve">RESIDENT RESOURCES            </t>
  </si>
  <si>
    <t xml:space="preserve">MEDICAID                      </t>
  </si>
  <si>
    <t xml:space="preserve">MEDICARE - PART A             </t>
  </si>
  <si>
    <t xml:space="preserve">MEDICARE - PART B             </t>
  </si>
  <si>
    <t xml:space="preserve">PRIVATE PAY                   </t>
  </si>
  <si>
    <t xml:space="preserve">MEDICAID INCENTIVE            </t>
  </si>
  <si>
    <t xml:space="preserve">CO INSURANCE A                </t>
  </si>
  <si>
    <t xml:space="preserve">CO-INSURANCE - B              </t>
  </si>
  <si>
    <t xml:space="preserve">PANDEMIC TESTING (STATE NH)   </t>
  </si>
  <si>
    <t xml:space="preserve">BAD DEBT                      </t>
  </si>
  <si>
    <t xml:space="preserve">MEAL SALES                    </t>
  </si>
  <si>
    <t>GRAND TOTAL</t>
  </si>
  <si>
    <t>%</t>
  </si>
  <si>
    <t>Cloud Based Data - Paperless</t>
  </si>
  <si>
    <t>Cloud Storage</t>
  </si>
  <si>
    <t>#</t>
  </si>
  <si>
    <t>Units</t>
  </si>
  <si>
    <t>$</t>
  </si>
  <si>
    <t>Each</t>
  </si>
  <si>
    <t>Subtotal</t>
  </si>
  <si>
    <t>Detail</t>
  </si>
  <si>
    <t>PBK</t>
  </si>
  <si>
    <t>Westlaw Subscription</t>
  </si>
  <si>
    <t>zoom subscription</t>
  </si>
  <si>
    <t>1 chair</t>
  </si>
  <si>
    <t>Employee Day</t>
  </si>
  <si>
    <t>Retirement &amp; Sympathy</t>
  </si>
  <si>
    <t>Longevity milestone gifts</t>
  </si>
  <si>
    <t xml:space="preserve">Financial Audit  60/40 split NH -   </t>
  </si>
  <si>
    <t>$51500 Total</t>
  </si>
  <si>
    <t>Audit letters</t>
  </si>
  <si>
    <t>FirstLight phone</t>
  </si>
  <si>
    <t>Cell phone stipend $15/week for CA &amp; FD.</t>
  </si>
  <si>
    <t>SR fax</t>
  </si>
  <si>
    <t>Annual Reports</t>
  </si>
  <si>
    <t>NH Association of Counties</t>
  </si>
  <si>
    <t xml:space="preserve">National Association of Counties - </t>
  </si>
  <si>
    <t>Prescription drug program.</t>
  </si>
  <si>
    <t xml:space="preserve">SHRM - society for human resources </t>
  </si>
  <si>
    <t>managment</t>
  </si>
  <si>
    <t xml:space="preserve">ANHPEHRA - Association of NH Public </t>
  </si>
  <si>
    <t>Human Resources Administrators</t>
  </si>
  <si>
    <t>NH Municipal Association</t>
  </si>
  <si>
    <t>Primex Conference</t>
  </si>
  <si>
    <t>NHAC Conference</t>
  </si>
  <si>
    <t>Zoom</t>
  </si>
  <si>
    <t>Adobe - Cloud</t>
  </si>
  <si>
    <t>Survey Monkey</t>
  </si>
  <si>
    <t>Replace 2 2017 servers</t>
  </si>
  <si>
    <t>Additional wireless access point</t>
  </si>
  <si>
    <t>Replace UPS</t>
  </si>
  <si>
    <t>60% DNS WEB FILTER</t>
  </si>
  <si>
    <t>Cisco Switch renewals</t>
  </si>
  <si>
    <t>SSL certificate for email</t>
  </si>
  <si>
    <t xml:space="preserve">Multi-Factor authentication for Office </t>
  </si>
  <si>
    <t>&amp; VPN</t>
  </si>
  <si>
    <t>Website hosting</t>
  </si>
  <si>
    <t>Wire Transfers</t>
  </si>
  <si>
    <t xml:space="preserve">           </t>
  </si>
  <si>
    <t>Mileage to Primex (4x)</t>
  </si>
  <si>
    <t xml:space="preserve"> NHGFOA Conf. (1x)</t>
  </si>
  <si>
    <t>Envelopes/check stock/W2</t>
  </si>
  <si>
    <t>$150 Meter Rental</t>
  </si>
  <si>
    <t>TAN Doc Delivery</t>
  </si>
  <si>
    <t>12 Months Postage</t>
  </si>
  <si>
    <t>phone</t>
  </si>
  <si>
    <t>Indexing</t>
  </si>
  <si>
    <t>Internet contract</t>
  </si>
  <si>
    <t>City of Keene</t>
  </si>
  <si>
    <t>2 book restoration</t>
  </si>
  <si>
    <t xml:space="preserve">copier Lease &amp; maintenance fee - toner </t>
  </si>
  <si>
    <t>Hardware lease contract</t>
  </si>
  <si>
    <t>printing - NHCI</t>
  </si>
  <si>
    <t>NH Register of Deeds Association</t>
  </si>
  <si>
    <t>PRIA</t>
  </si>
  <si>
    <t xml:space="preserve">Trash and recycling services at the </t>
  </si>
  <si>
    <t>Courthouse.</t>
  </si>
  <si>
    <t>Trips to Laconia Transfer Station.</t>
  </si>
  <si>
    <t>Maintenance land line telephones.</t>
  </si>
  <si>
    <t>Cell phone stipend (X4)</t>
  </si>
  <si>
    <t>Data/internet access for the Courthouse.</t>
  </si>
  <si>
    <t>Data/internet access for Complex</t>
  </si>
  <si>
    <t xml:space="preserve">100 mbps line for Sheriff </t>
  </si>
  <si>
    <t>Natural gas and oil heating fuels</t>
  </si>
  <si>
    <t>This is phase two of a 16.5% rate</t>
  </si>
  <si>
    <t>increase by the City of Laconia.</t>
  </si>
  <si>
    <t>Maintenance projects</t>
  </si>
  <si>
    <t xml:space="preserve">Emergency after hours service calls for </t>
  </si>
  <si>
    <t>sewer back-ups and sewer over-flows.</t>
  </si>
  <si>
    <t>Hardware repairs, service calls</t>
  </si>
  <si>
    <t>Rebuild oldest locks</t>
  </si>
  <si>
    <t>Quarterly elevator inspections.</t>
  </si>
  <si>
    <t>Elevator service calls for repairs.</t>
  </si>
  <si>
    <t>Sprinkler system system inspections and repair</t>
  </si>
  <si>
    <t xml:space="preserve">FM200 fire suppression testing for </t>
  </si>
  <si>
    <t xml:space="preserve">Fire extinguisher inspections </t>
  </si>
  <si>
    <t>Generator maintenance at Jail</t>
  </si>
  <si>
    <t xml:space="preserve">Annual monitoring fees for fire alarm </t>
  </si>
  <si>
    <t>Ice control salt</t>
  </si>
  <si>
    <t>landscape materials, perennials</t>
  </si>
  <si>
    <t xml:space="preserve">Consumable building supplies </t>
  </si>
  <si>
    <t xml:space="preserve">Custodial supplies </t>
  </si>
  <si>
    <t>Safety PPE, shirts for 4</t>
  </si>
  <si>
    <t>Fuel for plow trucks &amp; mowers</t>
  </si>
  <si>
    <t>Fuel for generators</t>
  </si>
  <si>
    <t>For trucks &amp; snowblowers</t>
  </si>
  <si>
    <t>Backpack vacuums.  2 for courthouse.</t>
  </si>
  <si>
    <t>New hard surface floor scrubber for courthouse</t>
  </si>
  <si>
    <t xml:space="preserve">Carpet extractor </t>
  </si>
  <si>
    <t>25 new mortise powered locks for the DOC</t>
  </si>
  <si>
    <t>Ongoing  masonry repairs at Courthouse</t>
  </si>
  <si>
    <t>Carpet in Sheriff's Dept.</t>
  </si>
  <si>
    <t xml:space="preserve">Carpet at Courthouse - Probation &amp; </t>
  </si>
  <si>
    <t>Parole and Restorative Justice</t>
  </si>
  <si>
    <t xml:space="preserve">Catwalk for Generator.  Safety catwalk </t>
  </si>
  <si>
    <t>to access the generator for inspections</t>
  </si>
  <si>
    <t>Flooring at Jail - 2 offices &amp; kitchenette</t>
  </si>
  <si>
    <t xml:space="preserve">Victaulic couplers on the Courthouse </t>
  </si>
  <si>
    <t>heating loop are leaking in numerous</t>
  </si>
  <si>
    <t>Replace exterior doors (4) at DOC</t>
  </si>
  <si>
    <t xml:space="preserve"> Rusted and rotted beyond repair.</t>
  </si>
  <si>
    <t>Security risk.</t>
  </si>
  <si>
    <t xml:space="preserve">AES long range mesh network radios to </t>
  </si>
  <si>
    <t>replace the fire alarm master boxes at</t>
  </si>
  <si>
    <t>the Courthouse - Required by City</t>
  </si>
  <si>
    <t xml:space="preserve">Vinyl side &amp; replace door on Sheriff's </t>
  </si>
  <si>
    <t>Department Communications Shed.</t>
  </si>
  <si>
    <t>Repair main entry of courthouse. Remove</t>
  </si>
  <si>
    <t xml:space="preserve"> regrade walkway and lower stairs. ADA</t>
  </si>
  <si>
    <t xml:space="preserve">Cell phones - deputy cell phones and </t>
  </si>
  <si>
    <t>(1) jail use phone</t>
  </si>
  <si>
    <t>First Light Phone Bill</t>
  </si>
  <si>
    <t>(10) Mobile Data Terminal Access @39.</t>
  </si>
  <si>
    <t>99ea./ mth. expanded from 3 to 10</t>
  </si>
  <si>
    <t>access points.</t>
  </si>
  <si>
    <t>NCIC/SPOTS VPN and Connection NHSP</t>
  </si>
  <si>
    <t>Optic Lines to all tower tops for radio</t>
  </si>
  <si>
    <t>These services provide connectivity to</t>
  </si>
  <si>
    <t>all of the County Radio resources. This</t>
  </si>
  <si>
    <t>connection is not an optional service</t>
  </si>
  <si>
    <t xml:space="preserve">TASER Subscription (16) Tasers and all </t>
  </si>
  <si>
    <t>equip/training associated. (5) year</t>
  </si>
  <si>
    <t>agreement $11</t>
  </si>
  <si>
    <t>Prospect Mountain Tower Rental</t>
  </si>
  <si>
    <t>Pinnacle Hill Tower Rental</t>
  </si>
  <si>
    <t>Liberty Hill Tower Rental</t>
  </si>
  <si>
    <t>Belknap Mountain Tower Rental - DRED</t>
  </si>
  <si>
    <t>Gilman Hill tower Rental - SBA increase</t>
  </si>
  <si>
    <t>Hemlock Hill Bridgewater</t>
  </si>
  <si>
    <t xml:space="preserve">EXACOM is the telephone and radio </t>
  </si>
  <si>
    <t>recording system- system is end of life</t>
  </si>
  <si>
    <t>and due for replacement by end of 2024</t>
  </si>
  <si>
    <t>IMC RMS/CAD Annual Service Fee</t>
  </si>
  <si>
    <t>CASPER</t>
  </si>
  <si>
    <t>Backup new separate network</t>
  </si>
  <si>
    <t>Pistol and Rifle Ammo</t>
  </si>
  <si>
    <t>annual dues - first net</t>
  </si>
  <si>
    <t>Specific to Special Ops Team</t>
  </si>
  <si>
    <t>Vehicle Maintenance/Upgrades</t>
  </si>
  <si>
    <t>Anti Riot/Gas replacement</t>
  </si>
  <si>
    <t xml:space="preserve">Reduced by $5000 based on new radio </t>
  </si>
  <si>
    <t>system. Remaining funding will be</t>
  </si>
  <si>
    <t>continued support for Comm Room A/C</t>
  </si>
  <si>
    <t xml:space="preserve">Incidental communication tower </t>
  </si>
  <si>
    <t>maintenance costs</t>
  </si>
  <si>
    <t>2 Way Communications Inc</t>
  </si>
  <si>
    <t>maintenance agreement. Also used for</t>
  </si>
  <si>
    <t>mobile radio repairs outside of</t>
  </si>
  <si>
    <t xml:space="preserve">For any filing fees required by law </t>
  </si>
  <si>
    <t>New letterhead</t>
  </si>
  <si>
    <t>IACP.net</t>
  </si>
  <si>
    <t>NESPIN</t>
  </si>
  <si>
    <t>FBI LEEDA</t>
  </si>
  <si>
    <t>IACP</t>
  </si>
  <si>
    <t>NH Sheriffs Assoc.</t>
  </si>
  <si>
    <t xml:space="preserve">ROTARY - one employee (admin) is a </t>
  </si>
  <si>
    <t>member and receives training related to</t>
  </si>
  <si>
    <t>work product as well as community</t>
  </si>
  <si>
    <t>NH CHIEFS ASSOCIATION</t>
  </si>
  <si>
    <t xml:space="preserve">Continued education for (36) sworn </t>
  </si>
  <si>
    <t xml:space="preserve">deputies/bailiffs and (2) Admin Staff. </t>
  </si>
  <si>
    <t>Contractual obligation</t>
  </si>
  <si>
    <t>Continued uniform maintenance for personnel</t>
  </si>
  <si>
    <t>Average cost for uniformed shirt and pants = $300</t>
  </si>
  <si>
    <t>Range Supplies (Targets, Staples, Target bases, adhesive spray, backers), Ammo (rifle, pistol both duty and training), tourniquets w/cases, holsters and OC spray.</t>
  </si>
  <si>
    <t>multiple currently pending</t>
  </si>
  <si>
    <t xml:space="preserve">level funded from last years budget due </t>
  </si>
  <si>
    <t>to renewed fleet (provided the 2</t>
  </si>
  <si>
    <t>cruiser request is filled). Still need to keep fleet running.</t>
  </si>
  <si>
    <t>NH Criminal and Motor Vehicle Books</t>
  </si>
  <si>
    <t>DESKS AND CHAIRS</t>
  </si>
  <si>
    <t xml:space="preserve">Ballistic Vests outer carriers with </t>
  </si>
  <si>
    <t>plates. These are vests in addition to</t>
  </si>
  <si>
    <t>the under shirt BPV.</t>
  </si>
  <si>
    <t>Handgun Replacements with optics</t>
  </si>
  <si>
    <t>Stop Sticks</t>
  </si>
  <si>
    <t>Dispatch Phone Replacement/upgrade</t>
  </si>
  <si>
    <t>Payment 2 of 3 2022 Cruiser</t>
  </si>
  <si>
    <t>payment #3 of 3 for 2022 Cruiser</t>
  </si>
  <si>
    <t xml:space="preserve">2 new cruiser - replacements for 2015  </t>
  </si>
  <si>
    <t>cars. This is a (3) yr lease program</t>
  </si>
  <si>
    <t>fully upfitted cruisers</t>
  </si>
  <si>
    <t>Employee Recognition Ceremonies</t>
  </si>
  <si>
    <t>Improve morale and recognize exemplary work</t>
  </si>
  <si>
    <t>Year 2 of 3 year contract with Horizons</t>
  </si>
  <si>
    <t xml:space="preserve">Lakes Region Mental Health Center </t>
  </si>
  <si>
    <t>screens inmates held pending admittance</t>
  </si>
  <si>
    <t>to NH Hospital for Involuntary</t>
  </si>
  <si>
    <t>Religious and grief counseling</t>
  </si>
  <si>
    <t>Phone service</t>
  </si>
  <si>
    <t>PreTrial Services Case Mgmt software</t>
  </si>
  <si>
    <t>Catastrophic CAP Excess</t>
  </si>
  <si>
    <t xml:space="preserve">Payment to another correctional </t>
  </si>
  <si>
    <t>facility for caring for a BCDOC inmate</t>
  </si>
  <si>
    <t>due to medical or security.</t>
  </si>
  <si>
    <t xml:space="preserve">Additional items for medical needs.  </t>
  </si>
  <si>
    <t>After hours IT repairs</t>
  </si>
  <si>
    <t>NHAC Annual Dues and Jail Assessment</t>
  </si>
  <si>
    <t>Needed to certify new CO's and</t>
  </si>
  <si>
    <t>recertify current CO's in accordance</t>
  </si>
  <si>
    <t>with Group II State Retirement System</t>
  </si>
  <si>
    <t>ACA annual membership</t>
  </si>
  <si>
    <t xml:space="preserve">National Association of Pretrial </t>
  </si>
  <si>
    <t>Services Agencies annual membership</t>
  </si>
  <si>
    <t>HiSet Materials and Testing</t>
  </si>
  <si>
    <t>Program Curriculum and Supplies</t>
  </si>
  <si>
    <t>Parenting Classes- 4 Sessions</t>
  </si>
  <si>
    <t>Work Release Expenses</t>
  </si>
  <si>
    <t>Lead Paint Removal Certification</t>
  </si>
  <si>
    <t>Prime for Life - Reentry Skills</t>
  </si>
  <si>
    <t xml:space="preserve">Urine screen devices </t>
  </si>
  <si>
    <t>Housekeeping supplies</t>
  </si>
  <si>
    <t>Medical Evaluation and Drug Testing for new hires</t>
  </si>
  <si>
    <t>Intoximeter mouthpieces &amp; calibration device</t>
  </si>
  <si>
    <t xml:space="preserve">Employee Recruitment Costs: </t>
  </si>
  <si>
    <t>Advertisements</t>
  </si>
  <si>
    <t>materials</t>
  </si>
  <si>
    <t>Insurance for 3 EMB devices</t>
  </si>
  <si>
    <t xml:space="preserve">Corrections Academy Tuition and Meals </t>
  </si>
  <si>
    <t>NHAC County Conference</t>
  </si>
  <si>
    <t>National Jail Leadership Command Academy</t>
  </si>
  <si>
    <t>Pretrial Services Training and Testing</t>
  </si>
  <si>
    <t>AJA National Conference</t>
  </si>
  <si>
    <t>Taser Instructor Course and recertification</t>
  </si>
  <si>
    <t>Addiction Studies Training for  CO Irving</t>
  </si>
  <si>
    <t>East Coast Gang Conference</t>
  </si>
  <si>
    <t>General Training Registrations</t>
  </si>
  <si>
    <t>FBI LEEDA Course</t>
  </si>
  <si>
    <t>OC Spray</t>
  </si>
  <si>
    <t>Taser Supplies</t>
  </si>
  <si>
    <t>Travel Reimbursements</t>
  </si>
  <si>
    <t>Staff regularly use their own vehicles</t>
  </si>
  <si>
    <t>to attend meetings and training events.</t>
  </si>
  <si>
    <t>Postage Meter Rental</t>
  </si>
  <si>
    <t>Postage Meter Ink Cartridges</t>
  </si>
  <si>
    <t>Inmate uniforms</t>
  </si>
  <si>
    <t>Recreation equipment</t>
  </si>
  <si>
    <t>Suicide resistant smocks</t>
  </si>
  <si>
    <t>mattresses</t>
  </si>
  <si>
    <t>Inmate Law Library</t>
  </si>
  <si>
    <t>Correctional Law Reporter Annual Subscription</t>
  </si>
  <si>
    <t xml:space="preserve">Reports on current legal issues </t>
  </si>
  <si>
    <t>Inmate Food Trays</t>
  </si>
  <si>
    <t>Restraint Devices (Handcuffs, Belts)</t>
  </si>
  <si>
    <t>Office Chairs</t>
  </si>
  <si>
    <t>fax machine</t>
  </si>
  <si>
    <t>phone bill</t>
  </si>
  <si>
    <t>cell phone stipend</t>
  </si>
  <si>
    <t xml:space="preserve">This line covers costs of both urine </t>
  </si>
  <si>
    <t>cups and saliva screens for drug testing</t>
  </si>
  <si>
    <t>Principal on CCC Bond- 95.3%</t>
  </si>
  <si>
    <t>Interest on CCC Bond - 95.3%</t>
  </si>
  <si>
    <t>Countywide asphalt repairs &amp; line striping</t>
  </si>
  <si>
    <t>Principal on roof bond 4.7%</t>
  </si>
  <si>
    <t>Interest on roof bond 4.7%</t>
  </si>
  <si>
    <t>Int. on TAN - 40%</t>
  </si>
  <si>
    <t>Int. on TAN - $8M, 5.5%, 9 months (60%)</t>
  </si>
  <si>
    <t>40% Financial audit</t>
  </si>
  <si>
    <t>Medicaid cost report preparation</t>
  </si>
  <si>
    <t>Medicare cost report preparation</t>
  </si>
  <si>
    <t>Hot spots</t>
  </si>
  <si>
    <t>SR Fax service</t>
  </si>
  <si>
    <t>Cell phone stipends</t>
  </si>
  <si>
    <t>Trac phone minutes</t>
  </si>
  <si>
    <t xml:space="preserve">CONTRACTED I/T SERVICES      40% </t>
  </si>
  <si>
    <t>40% Munis 2024</t>
  </si>
  <si>
    <t>IN2L</t>
  </si>
  <si>
    <t>YEARLY CLAIM SHUTTLE ACCESS</t>
  </si>
  <si>
    <t xml:space="preserve">NetHealth/Pointright MDS Scrubber </t>
  </si>
  <si>
    <t>OnShift Scheduling and Wallet Software</t>
  </si>
  <si>
    <t xml:space="preserve">Secure Care System </t>
  </si>
  <si>
    <t>(wanderguard/elopement System)</t>
  </si>
  <si>
    <t>Zoom licensing for hosting</t>
  </si>
  <si>
    <t>Adobe- portion</t>
  </si>
  <si>
    <t>MICROSOFT OFFICE</t>
  </si>
  <si>
    <t xml:space="preserve">Tech Plan Secure Care Nurse Call System </t>
  </si>
  <si>
    <t>ESL Distributing LLC / Annual</t>
  </si>
  <si>
    <t>Fully Managed (Careworx kiosks)</t>
  </si>
  <si>
    <t xml:space="preserve">Point Click Care </t>
  </si>
  <si>
    <t xml:space="preserve">40% Kronos Software and Support </t>
  </si>
  <si>
    <t>Medicare Cost Report</t>
  </si>
  <si>
    <t xml:space="preserve">PBJ Software </t>
  </si>
  <si>
    <t>Replace 2 servers</t>
  </si>
  <si>
    <t>wireless access point</t>
  </si>
  <si>
    <t>UPS replacements</t>
  </si>
  <si>
    <t>40% off site back up (Axcient)</t>
  </si>
  <si>
    <t>40% DNS WEB FILTER</t>
  </si>
  <si>
    <t>Cisco switch renewals</t>
  </si>
  <si>
    <t>Website Hosting</t>
  </si>
  <si>
    <t>DUO MFA</t>
  </si>
  <si>
    <t>40% Allworks Phone System Maintenance</t>
  </si>
  <si>
    <t xml:space="preserve">Motor Vehicle </t>
  </si>
  <si>
    <t>Criminal background check</t>
  </si>
  <si>
    <t>Physical &amp; drug screen</t>
  </si>
  <si>
    <t>cables, connectors, keyboards, batteries</t>
  </si>
  <si>
    <t>ANNAC (MDS)</t>
  </si>
  <si>
    <t>SHRM (H.R.)</t>
  </si>
  <si>
    <t>AHEMI (Medical Records)</t>
  </si>
  <si>
    <t>NHSWANH (SS)</t>
  </si>
  <si>
    <t>Cemetery Plot Care</t>
  </si>
  <si>
    <t>Notary Renewals (3)</t>
  </si>
  <si>
    <t>CLIA Certificate (Lab)</t>
  </si>
  <si>
    <t>New Hampshire Assoc. of Counties (NHAC)</t>
  </si>
  <si>
    <t>National Assoc.of D.O.N. (NADONA)</t>
  </si>
  <si>
    <t>NH Infection Control EP (NHICEP)</t>
  </si>
  <si>
    <t>American College of Health Care Adm.</t>
  </si>
  <si>
    <t xml:space="preserve">Healthcare Academy </t>
  </si>
  <si>
    <t>Offsite education</t>
  </si>
  <si>
    <t>Primex Summit</t>
  </si>
  <si>
    <t>CPR</t>
  </si>
  <si>
    <t>Insurance</t>
  </si>
  <si>
    <t>HRA</t>
  </si>
  <si>
    <t>Waste Disposal/Recyling</t>
  </si>
  <si>
    <t>Recycling</t>
  </si>
  <si>
    <t>DATA DESTRUCTION</t>
  </si>
  <si>
    <t>STERICYCLE - INFECTIOUS WASTE</t>
  </si>
  <si>
    <t>15% increase</t>
  </si>
  <si>
    <t>GENERAL  REPAIRS</t>
  </si>
  <si>
    <t>MEDICAL EQUIP CALIBRATION</t>
  </si>
  <si>
    <t>MASTER ALARM - CITY OF LACONIA</t>
  </si>
  <si>
    <t>BOILER TREATMENT</t>
  </si>
  <si>
    <t>LAUNDRY EXHAUST</t>
  </si>
  <si>
    <t>LAUNDRY OZONE</t>
  </si>
  <si>
    <t>BOILER CLEANING</t>
  </si>
  <si>
    <t>GENERATOR SVS JUNE - DEC</t>
  </si>
  <si>
    <t>BACKFLOW WATER TEST</t>
  </si>
  <si>
    <t>FIRE HYDRANT TEST</t>
  </si>
  <si>
    <t>SPRINKLER SYSTEM</t>
  </si>
  <si>
    <t>CHILLER - TRANE</t>
  </si>
  <si>
    <t>FIRE EXTINGUISHER (IMPACT FIRE)</t>
  </si>
  <si>
    <t>KITCHEN HOOD INSPECTION</t>
  </si>
  <si>
    <t>FIRE ALARM SYSTEM MAY-NOVEMBER</t>
  </si>
  <si>
    <t>MEDICAL GAS INSPECTION</t>
  </si>
  <si>
    <t>WATER FILTRATION MAINT - CHANGE RODS</t>
  </si>
  <si>
    <t xml:space="preserve">FIRE INSPECTION SERVER ROOM HILLER - </t>
  </si>
  <si>
    <t>WATER FILTRATION TESTING</t>
  </si>
  <si>
    <t>V-plow for truck</t>
  </si>
  <si>
    <t>Sprinkler system</t>
  </si>
  <si>
    <t>VAV boxes</t>
  </si>
  <si>
    <t>2 X Kitchenettes</t>
  </si>
  <si>
    <t xml:space="preserve">5 rooftop ventilation fans that have </t>
  </si>
  <si>
    <t>failed on the Nursing Home.</t>
  </si>
  <si>
    <t>2 Grease traps</t>
  </si>
  <si>
    <t>Carpet</t>
  </si>
  <si>
    <t>CONDENSER</t>
  </si>
  <si>
    <t>3 Nursing Station Cabinets and counters</t>
  </si>
  <si>
    <t xml:space="preserve"> </t>
  </si>
  <si>
    <t>Staff Dev. Cabinets &amp; counters</t>
  </si>
  <si>
    <t>head &amp; foot boards, mattress</t>
  </si>
  <si>
    <t>LNA/MLNA program</t>
  </si>
  <si>
    <t>Education Assistance Program</t>
  </si>
  <si>
    <t>Credit from Corrections</t>
  </si>
  <si>
    <t>Medical Director</t>
  </si>
  <si>
    <t>Health Drive- Podiatry, vision, audiology</t>
  </si>
  <si>
    <t>Over the counter meds, stock</t>
  </si>
  <si>
    <t>Dental</t>
  </si>
  <si>
    <t>Extraction, oral surgery, x-rays</t>
  </si>
  <si>
    <t>Skilled nursing services</t>
  </si>
  <si>
    <t>Therapy services</t>
  </si>
  <si>
    <t>in-house performers &amp; outside trips</t>
  </si>
  <si>
    <t>Arts &amp; crafts, books, magazines, etc.</t>
  </si>
  <si>
    <t>Highway Safety Grant 2023</t>
  </si>
  <si>
    <t xml:space="preserve">43 shifts average a week. $151 </t>
  </si>
  <si>
    <t>reimbursement rate from State. 43 x 151</t>
  </si>
  <si>
    <t>x 52 = $337</t>
  </si>
  <si>
    <t>Town of Northfield</t>
  </si>
  <si>
    <t>33% of net pay</t>
  </si>
  <si>
    <t>Inmate pays $10/day</t>
  </si>
  <si>
    <t>17%  of sales</t>
  </si>
  <si>
    <t>SS incentive &amp; copies, etc.</t>
  </si>
  <si>
    <t>DOC Lease - $37,048</t>
  </si>
  <si>
    <t>AOC Lease $267,696</t>
  </si>
  <si>
    <t>SHRM Virtual Conference/Training</t>
  </si>
  <si>
    <t>surveillance equipment &amp; cameras, etc.</t>
  </si>
  <si>
    <t xml:space="preserve">NHGFOA - GFOA Membership 3 EE's </t>
  </si>
  <si>
    <t>NHGFOA Conferences - GFOA Classes</t>
  </si>
  <si>
    <t xml:space="preserve">forms/Paper - </t>
  </si>
  <si>
    <t>This is an increase $14,000</t>
  </si>
  <si>
    <t>DHHS CAP 3.5% increase 7/1/24</t>
  </si>
  <si>
    <t>Air and Hotel - 2 employees Munis</t>
  </si>
  <si>
    <t>F/T Wages</t>
  </si>
  <si>
    <t xml:space="preserve">40% Nursing Home </t>
  </si>
  <si>
    <t>Total F/T Wage</t>
  </si>
  <si>
    <t xml:space="preserve">Total </t>
  </si>
  <si>
    <t xml:space="preserve">NH </t>
  </si>
  <si>
    <t>40% IT Coordinator</t>
  </si>
  <si>
    <t xml:space="preserve">40% of IT Coodinator </t>
  </si>
  <si>
    <t xml:space="preserve">Catwalk for Generator </t>
  </si>
  <si>
    <t>Carpet Extractor</t>
  </si>
  <si>
    <t>Replace Fire Alarm Master Box</t>
  </si>
  <si>
    <t>2 Clinicians</t>
  </si>
  <si>
    <t>PrimeCare Contract 3% in July</t>
  </si>
  <si>
    <t>Based upon ADP of 70. 2.83 per meal</t>
  </si>
  <si>
    <t>Radio Batteries</t>
  </si>
  <si>
    <t>Blood Alcohol Content/Tazer</t>
  </si>
  <si>
    <t>Portable radios</t>
  </si>
  <si>
    <t>14235</t>
  </si>
  <si>
    <t>Without Fund Balance</t>
  </si>
  <si>
    <t>Cell phones (CCC &amp; Pretrial)</t>
  </si>
  <si>
    <t>1 stipend for Superintendent</t>
  </si>
  <si>
    <t>Staff coffee &amp; volunteer trainings, etc.</t>
  </si>
  <si>
    <t>Bi-annual CPR Certification</t>
  </si>
  <si>
    <t>Travel Costs Related to Trainings</t>
  </si>
  <si>
    <t>Toiletries, towels, shower matts</t>
  </si>
  <si>
    <t>$ Change</t>
  </si>
  <si>
    <r>
      <t xml:space="preserve">and service - </t>
    </r>
    <r>
      <rPr>
        <b/>
        <sz val="12"/>
        <color theme="1"/>
        <rFont val="Calibri"/>
        <family val="2"/>
        <scheme val="minor"/>
      </rPr>
      <t>50% in Nursing Home</t>
    </r>
  </si>
  <si>
    <t>1.10.24</t>
  </si>
  <si>
    <t xml:space="preserve">communications towers. </t>
  </si>
  <si>
    <t>1.17.24</t>
  </si>
  <si>
    <t>Includes $14602 for SO MDT Grant</t>
  </si>
  <si>
    <t>Actual</t>
  </si>
  <si>
    <t>Total change from Recommendation</t>
  </si>
  <si>
    <t>1.24.24</t>
  </si>
  <si>
    <t>1.31.24</t>
  </si>
  <si>
    <t>Increase in Personnel Costs</t>
  </si>
  <si>
    <t>Increase from 23 Budget to 24</t>
  </si>
  <si>
    <t>Increase in Property/Liability Ins.</t>
  </si>
  <si>
    <t>Increase in Unanticipated Exp.</t>
  </si>
  <si>
    <t>Debt Service Costs</t>
  </si>
  <si>
    <t>NH Building Improvements</t>
  </si>
  <si>
    <t>Contracted Nursing Services</t>
  </si>
  <si>
    <t>Bed Tax</t>
  </si>
  <si>
    <t>Cruiser &amp; New Equip - Sheriff's Dept</t>
  </si>
  <si>
    <t>Increases in most purchases/contracts</t>
  </si>
  <si>
    <t>New Outside Agency - CASA</t>
  </si>
  <si>
    <t>Other privatized services</t>
  </si>
  <si>
    <t>food, DoC medical, IT</t>
  </si>
  <si>
    <t>Building Control System</t>
  </si>
  <si>
    <t xml:space="preserve">locations causing water damage </t>
  </si>
  <si>
    <t>SPOTS TERMINAL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</si>
</sst>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/>
    <xf numFmtId="0" fontId="4" fillId="0" borderId="0" xfId="0" quotePrefix="1" applyFont="1" applyAlignment="1">
      <alignment horizontal="right"/>
    </xf>
    <xf numFmtId="10" fontId="4" fillId="0" borderId="0" xfId="0" applyNumberFormat="1" applyFont="1"/>
    <xf numFmtId="1" fontId="4" fillId="0" borderId="0" xfId="0" applyNumberFormat="1" applyFont="1"/>
    <xf numFmtId="164" fontId="4" fillId="0" borderId="0" xfId="1" applyNumberFormat="1" applyFont="1"/>
    <xf numFmtId="164" fontId="4" fillId="0" borderId="1" xfId="1" applyNumberFormat="1" applyFont="1" applyBorder="1"/>
    <xf numFmtId="10" fontId="4" fillId="0" borderId="1" xfId="0" applyNumberFormat="1" applyFont="1" applyBorder="1"/>
    <xf numFmtId="0" fontId="5" fillId="0" borderId="0" xfId="0" applyFont="1"/>
    <xf numFmtId="164" fontId="5" fillId="0" borderId="0" xfId="1" applyNumberFormat="1" applyFont="1"/>
    <xf numFmtId="164" fontId="4" fillId="0" borderId="0" xfId="1" applyNumberFormat="1" applyFont="1" applyBorder="1"/>
    <xf numFmtId="164" fontId="5" fillId="0" borderId="2" xfId="1" applyNumberFormat="1" applyFont="1" applyBorder="1"/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0" xfId="0" applyNumberFormat="1" applyFont="1"/>
    <xf numFmtId="164" fontId="4" fillId="0" borderId="0" xfId="1" applyNumberFormat="1" applyFont="1" applyFill="1"/>
    <xf numFmtId="164" fontId="4" fillId="0" borderId="1" xfId="1" applyNumberFormat="1" applyFont="1" applyFill="1" applyBorder="1"/>
    <xf numFmtId="164" fontId="5" fillId="0" borderId="0" xfId="1" applyNumberFormat="1" applyFont="1" applyFill="1"/>
    <xf numFmtId="164" fontId="5" fillId="0" borderId="2" xfId="1" applyNumberFormat="1" applyFont="1" applyFill="1" applyBorder="1"/>
    <xf numFmtId="164" fontId="4" fillId="0" borderId="0" xfId="1" applyNumberFormat="1" applyFont="1" applyFill="1" applyBorder="1"/>
    <xf numFmtId="14" fontId="4" fillId="2" borderId="0" xfId="0" applyNumberFormat="1" applyFont="1" applyFill="1"/>
    <xf numFmtId="14" fontId="4" fillId="3" borderId="0" xfId="0" applyNumberFormat="1" applyFont="1" applyFill="1"/>
    <xf numFmtId="0" fontId="7" fillId="0" borderId="0" xfId="0" applyFont="1" applyAlignment="1">
      <alignment horizontal="center"/>
    </xf>
    <xf numFmtId="49" fontId="5" fillId="0" borderId="0" xfId="1" applyNumberFormat="1" applyFont="1" applyFill="1" applyAlignment="1">
      <alignment horizontal="center"/>
    </xf>
    <xf numFmtId="49" fontId="5" fillId="0" borderId="0" xfId="1" applyNumberFormat="1" applyFont="1" applyAlignment="1">
      <alignment horizontal="center"/>
    </xf>
    <xf numFmtId="49" fontId="4" fillId="0" borderId="0" xfId="1" applyNumberFormat="1" applyFont="1" applyAlignment="1">
      <alignment horizontal="center"/>
    </xf>
    <xf numFmtId="14" fontId="4" fillId="4" borderId="0" xfId="0" applyNumberFormat="1" applyFont="1" applyFill="1"/>
    <xf numFmtId="14" fontId="4" fillId="5" borderId="0" xfId="0" applyNumberFormat="1" applyFont="1" applyFill="1"/>
    <xf numFmtId="164" fontId="5" fillId="0" borderId="1" xfId="1" applyNumberFormat="1" applyFont="1" applyFill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9" fontId="4" fillId="0" borderId="0" xfId="2" applyFont="1"/>
    <xf numFmtId="9" fontId="5" fillId="0" borderId="0" xfId="2" applyFont="1"/>
    <xf numFmtId="164" fontId="5" fillId="0" borderId="0" xfId="0" applyNumberFormat="1" applyFont="1"/>
    <xf numFmtId="1" fontId="4" fillId="0" borderId="0" xfId="1" quotePrefix="1" applyNumberFormat="1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 indent="1"/>
    </xf>
    <xf numFmtId="0" fontId="4" fillId="0" borderId="0" xfId="0" quotePrefix="1" applyFont="1"/>
    <xf numFmtId="164" fontId="5" fillId="0" borderId="0" xfId="1" applyNumberFormat="1" applyFont="1" applyFill="1" applyBorder="1"/>
    <xf numFmtId="164" fontId="4" fillId="2" borderId="0" xfId="1" applyNumberFormat="1" applyFont="1" applyFill="1"/>
    <xf numFmtId="0" fontId="9" fillId="0" borderId="0" xfId="0" applyFont="1"/>
    <xf numFmtId="164" fontId="8" fillId="6" borderId="0" xfId="1" applyNumberFormat="1" applyFont="1" applyFill="1"/>
    <xf numFmtId="164" fontId="9" fillId="6" borderId="0" xfId="1" applyNumberFormat="1" applyFont="1" applyFill="1"/>
    <xf numFmtId="164" fontId="4" fillId="6" borderId="0" xfId="1" applyNumberFormat="1" applyFont="1" applyFill="1"/>
    <xf numFmtId="165" fontId="5" fillId="0" borderId="0" xfId="2" applyNumberFormat="1" applyFont="1"/>
    <xf numFmtId="0" fontId="4" fillId="3" borderId="0" xfId="0" applyFont="1" applyFill="1"/>
    <xf numFmtId="164" fontId="4" fillId="3" borderId="0" xfId="1" applyNumberFormat="1" applyFont="1" applyFill="1"/>
    <xf numFmtId="164" fontId="4" fillId="7" borderId="0" xfId="1" applyNumberFormat="1" applyFont="1" applyFill="1"/>
    <xf numFmtId="0" fontId="4" fillId="7" borderId="0" xfId="0" applyFont="1" applyFill="1"/>
    <xf numFmtId="164" fontId="4" fillId="7" borderId="1" xfId="1" applyNumberFormat="1" applyFont="1" applyFill="1" applyBorder="1"/>
    <xf numFmtId="0" fontId="4" fillId="8" borderId="0" xfId="0" applyFont="1" applyFill="1"/>
    <xf numFmtId="164" fontId="4" fillId="8" borderId="0" xfId="1" applyNumberFormat="1" applyFont="1" applyFill="1"/>
    <xf numFmtId="164" fontId="4" fillId="5" borderId="0" xfId="1" applyNumberFormat="1" applyFont="1" applyFill="1"/>
    <xf numFmtId="164" fontId="8" fillId="5" borderId="0" xfId="1" applyNumberFormat="1" applyFont="1" applyFill="1"/>
    <xf numFmtId="0" fontId="4" fillId="5" borderId="0" xfId="0" applyFont="1" applyFill="1"/>
    <xf numFmtId="9" fontId="4" fillId="0" borderId="0" xfId="2" applyFont="1" applyFill="1"/>
    <xf numFmtId="164" fontId="9" fillId="7" borderId="0" xfId="1" applyNumberFormat="1" applyFont="1" applyFill="1"/>
    <xf numFmtId="14" fontId="4" fillId="9" borderId="0" xfId="0" applyNumberFormat="1" applyFont="1" applyFill="1" applyAlignment="1">
      <alignment horizontal="left"/>
    </xf>
    <xf numFmtId="164" fontId="4" fillId="9" borderId="0" xfId="1" applyNumberFormat="1" applyFont="1" applyFill="1"/>
    <xf numFmtId="0" fontId="4" fillId="9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Department_Heads\23%20Budget%20to%20Actual.xlsx" TargetMode="External"/><Relationship Id="rId1" Type="http://schemas.openxmlformats.org/officeDocument/2006/relationships/externalLinkPath" Target="file:///S:\Department_Heads\23%20Budget%20to%20Actual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Department_Heads\22%20Budget%20to%20Actual.xlsx" TargetMode="External"/><Relationship Id="rId1" Type="http://schemas.openxmlformats.org/officeDocument/2006/relationships/externalLinkPath" Target="file:///S:\Department_Heads\22%20Budget%20to%20Actual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Finance\2023%20Budget\23%20Budget%20Worksheet.xlsx" TargetMode="External"/><Relationship Id="rId1" Type="http://schemas.openxmlformats.org/officeDocument/2006/relationships/externalLinkPath" Target="/Finance/2023%20Budget/23%20Budget%20Work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pense"/>
      <sheetName val="Revenue"/>
    </sheetNames>
    <sheetDataSet>
      <sheetData sheetId="0">
        <row r="4">
          <cell r="I4">
            <v>3000</v>
          </cell>
          <cell r="N4">
            <v>2940</v>
          </cell>
        </row>
        <row r="5">
          <cell r="I5">
            <v>0</v>
          </cell>
          <cell r="N5">
            <v>0</v>
          </cell>
        </row>
        <row r="6">
          <cell r="I6">
            <v>1108</v>
          </cell>
          <cell r="N6">
            <v>946</v>
          </cell>
        </row>
        <row r="7">
          <cell r="I7">
            <v>1800</v>
          </cell>
          <cell r="N7">
            <v>1885</v>
          </cell>
        </row>
        <row r="8">
          <cell r="J8">
            <v>5771.53</v>
          </cell>
        </row>
        <row r="11">
          <cell r="I11">
            <v>662862</v>
          </cell>
          <cell r="N11">
            <v>627782.64</v>
          </cell>
        </row>
        <row r="12">
          <cell r="I12">
            <v>53316.67</v>
          </cell>
          <cell r="N12">
            <v>52502.95</v>
          </cell>
        </row>
        <row r="13">
          <cell r="I13">
            <v>98093</v>
          </cell>
          <cell r="N13">
            <v>98093</v>
          </cell>
        </row>
        <row r="14">
          <cell r="I14">
            <v>0</v>
          </cell>
          <cell r="N14">
            <v>280.91000000000003</v>
          </cell>
        </row>
        <row r="15">
          <cell r="I15">
            <v>6000</v>
          </cell>
          <cell r="N15">
            <v>12322.19</v>
          </cell>
        </row>
        <row r="16">
          <cell r="I16">
            <v>900</v>
          </cell>
          <cell r="N16">
            <v>900</v>
          </cell>
        </row>
        <row r="17">
          <cell r="I17">
            <v>127765</v>
          </cell>
          <cell r="N17">
            <v>112833.39</v>
          </cell>
        </row>
        <row r="18">
          <cell r="I18">
            <v>3321</v>
          </cell>
          <cell r="N18">
            <v>1820</v>
          </cell>
        </row>
        <row r="19">
          <cell r="I19">
            <v>63300</v>
          </cell>
          <cell r="N19">
            <v>59501.26</v>
          </cell>
        </row>
        <row r="20">
          <cell r="I20">
            <v>106800</v>
          </cell>
          <cell r="N20">
            <v>100612.84</v>
          </cell>
        </row>
        <row r="21">
          <cell r="I21">
            <v>323</v>
          </cell>
          <cell r="N21">
            <v>322.26</v>
          </cell>
        </row>
        <row r="22">
          <cell r="I22">
            <v>1413</v>
          </cell>
          <cell r="N22">
            <v>1413</v>
          </cell>
        </row>
        <row r="23">
          <cell r="I23">
            <v>4040</v>
          </cell>
          <cell r="N23">
            <v>3690</v>
          </cell>
        </row>
        <row r="24">
          <cell r="I24">
            <v>1200</v>
          </cell>
          <cell r="N24">
            <v>926.39</v>
          </cell>
        </row>
        <row r="25">
          <cell r="I25"/>
          <cell r="N25">
            <v>881</v>
          </cell>
        </row>
        <row r="26">
          <cell r="I26">
            <v>900</v>
          </cell>
          <cell r="N26">
            <v>737.31</v>
          </cell>
        </row>
        <row r="27">
          <cell r="I27">
            <v>15500</v>
          </cell>
          <cell r="N27">
            <v>6600</v>
          </cell>
        </row>
        <row r="28">
          <cell r="I28">
            <v>18000</v>
          </cell>
          <cell r="N28">
            <v>22477.11</v>
          </cell>
        </row>
        <row r="29">
          <cell r="I29">
            <v>10000</v>
          </cell>
          <cell r="N29">
            <v>12460.48</v>
          </cell>
        </row>
        <row r="30">
          <cell r="I30">
            <v>250</v>
          </cell>
          <cell r="N30">
            <v>161.99</v>
          </cell>
        </row>
        <row r="31">
          <cell r="I31">
            <v>3180</v>
          </cell>
          <cell r="N31">
            <v>3334.91</v>
          </cell>
        </row>
        <row r="32">
          <cell r="I32">
            <v>5688</v>
          </cell>
          <cell r="N32">
            <v>5687.03</v>
          </cell>
        </row>
        <row r="33">
          <cell r="I33">
            <v>300</v>
          </cell>
          <cell r="N33">
            <v>0</v>
          </cell>
        </row>
        <row r="34">
          <cell r="I34">
            <v>500</v>
          </cell>
          <cell r="N34">
            <v>650</v>
          </cell>
        </row>
        <row r="35">
          <cell r="I35">
            <v>1200</v>
          </cell>
          <cell r="N35">
            <v>732.15</v>
          </cell>
        </row>
        <row r="36">
          <cell r="I36">
            <v>1000</v>
          </cell>
          <cell r="N36">
            <v>713.5</v>
          </cell>
        </row>
        <row r="37">
          <cell r="I37">
            <v>3000</v>
          </cell>
          <cell r="N37">
            <v>3078.5</v>
          </cell>
        </row>
        <row r="38">
          <cell r="I38">
            <v>1000</v>
          </cell>
          <cell r="N38">
            <v>1148.8</v>
          </cell>
        </row>
        <row r="39">
          <cell r="I39">
            <v>800</v>
          </cell>
          <cell r="N39">
            <v>2380.3000000000002</v>
          </cell>
        </row>
        <row r="40">
          <cell r="I40">
            <v>2000</v>
          </cell>
          <cell r="J40">
            <v>1909.77</v>
          </cell>
        </row>
        <row r="44">
          <cell r="I44">
            <v>207500</v>
          </cell>
          <cell r="N44">
            <v>212424.1</v>
          </cell>
        </row>
        <row r="45">
          <cell r="I45">
            <v>29712</v>
          </cell>
          <cell r="N45">
            <v>29712</v>
          </cell>
        </row>
        <row r="46">
          <cell r="I46">
            <v>2500</v>
          </cell>
          <cell r="N46">
            <v>607.76</v>
          </cell>
        </row>
        <row r="47">
          <cell r="I47">
            <v>5620</v>
          </cell>
          <cell r="N47">
            <v>6410.99</v>
          </cell>
        </row>
        <row r="48">
          <cell r="I48">
            <v>500</v>
          </cell>
          <cell r="N48">
            <v>500</v>
          </cell>
        </row>
        <row r="49">
          <cell r="I49">
            <v>27450</v>
          </cell>
          <cell r="N49">
            <v>25315.15</v>
          </cell>
        </row>
        <row r="50">
          <cell r="I50">
            <v>950</v>
          </cell>
          <cell r="N50">
            <v>328.36</v>
          </cell>
        </row>
        <row r="51">
          <cell r="I51">
            <v>19400</v>
          </cell>
          <cell r="N51">
            <v>18775.48</v>
          </cell>
        </row>
        <row r="52">
          <cell r="I52">
            <v>30850</v>
          </cell>
          <cell r="N52">
            <v>29794.19</v>
          </cell>
        </row>
        <row r="53">
          <cell r="I53">
            <v>54</v>
          </cell>
          <cell r="N53">
            <v>53.71</v>
          </cell>
        </row>
        <row r="54">
          <cell r="I54">
            <v>564</v>
          </cell>
          <cell r="N54">
            <v>563.21</v>
          </cell>
        </row>
        <row r="55">
          <cell r="I55">
            <v>1500</v>
          </cell>
          <cell r="N55">
            <v>1504.88</v>
          </cell>
        </row>
        <row r="56">
          <cell r="I56">
            <v>35670</v>
          </cell>
          <cell r="N56">
            <v>31770</v>
          </cell>
        </row>
        <row r="57">
          <cell r="I57">
            <v>12500</v>
          </cell>
          <cell r="N57">
            <v>1553.55</v>
          </cell>
        </row>
        <row r="58">
          <cell r="I58">
            <v>2680</v>
          </cell>
          <cell r="N58">
            <v>2507.67</v>
          </cell>
        </row>
        <row r="59">
          <cell r="I59">
            <v>3348</v>
          </cell>
          <cell r="N59">
            <v>3371.41</v>
          </cell>
        </row>
        <row r="60">
          <cell r="I60">
            <v>32947</v>
          </cell>
          <cell r="N60">
            <v>32946.199999999997</v>
          </cell>
        </row>
        <row r="61">
          <cell r="I61">
            <v>350</v>
          </cell>
          <cell r="N61">
            <v>0</v>
          </cell>
        </row>
        <row r="62">
          <cell r="I62">
            <v>8476</v>
          </cell>
          <cell r="N62">
            <v>9104</v>
          </cell>
        </row>
        <row r="63">
          <cell r="I63">
            <v>300</v>
          </cell>
          <cell r="N63">
            <v>153</v>
          </cell>
        </row>
        <row r="64">
          <cell r="I64">
            <v>2000</v>
          </cell>
          <cell r="N64">
            <v>2000</v>
          </cell>
        </row>
        <row r="65">
          <cell r="I65">
            <v>3900</v>
          </cell>
          <cell r="N65">
            <v>1815.25</v>
          </cell>
        </row>
        <row r="66">
          <cell r="I66">
            <v>500</v>
          </cell>
          <cell r="N66">
            <v>2397.63</v>
          </cell>
        </row>
        <row r="67">
          <cell r="I67">
            <v>500</v>
          </cell>
          <cell r="N67">
            <v>827.85</v>
          </cell>
        </row>
        <row r="69">
          <cell r="J69">
            <v>415446.72</v>
          </cell>
        </row>
        <row r="72">
          <cell r="I72">
            <v>37001</v>
          </cell>
          <cell r="N72">
            <v>30891</v>
          </cell>
        </row>
        <row r="73">
          <cell r="I73">
            <v>0</v>
          </cell>
          <cell r="N73">
            <v>615</v>
          </cell>
        </row>
        <row r="74">
          <cell r="I74">
            <v>24330</v>
          </cell>
          <cell r="N74">
            <v>0</v>
          </cell>
        </row>
        <row r="75">
          <cell r="I75">
            <v>2850</v>
          </cell>
          <cell r="N75">
            <v>2410</v>
          </cell>
        </row>
        <row r="76">
          <cell r="I76">
            <v>5100</v>
          </cell>
          <cell r="N76">
            <v>4287</v>
          </cell>
        </row>
        <row r="77">
          <cell r="I77"/>
          <cell r="N77">
            <v>480</v>
          </cell>
        </row>
        <row r="78">
          <cell r="I78">
            <v>67185</v>
          </cell>
          <cell r="N78">
            <v>80980</v>
          </cell>
        </row>
        <row r="79">
          <cell r="I79">
            <v>70387</v>
          </cell>
          <cell r="N79">
            <v>3022</v>
          </cell>
        </row>
        <row r="80">
          <cell r="I80"/>
          <cell r="N80">
            <v>31631.11</v>
          </cell>
        </row>
        <row r="81">
          <cell r="I81"/>
          <cell r="N81">
            <v>12240</v>
          </cell>
        </row>
        <row r="82">
          <cell r="I82"/>
          <cell r="N82">
            <v>29132</v>
          </cell>
        </row>
        <row r="83">
          <cell r="I83"/>
          <cell r="N83">
            <v>5603</v>
          </cell>
        </row>
        <row r="84">
          <cell r="I84"/>
          <cell r="N84">
            <v>4049.98</v>
          </cell>
        </row>
        <row r="85">
          <cell r="I85">
            <v>22500</v>
          </cell>
          <cell r="N85">
            <v>16709</v>
          </cell>
        </row>
        <row r="86">
          <cell r="I86">
            <v>21227</v>
          </cell>
          <cell r="N86">
            <v>12805</v>
          </cell>
        </row>
        <row r="87">
          <cell r="I87">
            <v>400</v>
          </cell>
          <cell r="N87">
            <v>592</v>
          </cell>
        </row>
        <row r="88">
          <cell r="J88">
            <v>18809.04</v>
          </cell>
        </row>
        <row r="92">
          <cell r="I92">
            <v>222300</v>
          </cell>
          <cell r="N92">
            <v>222913</v>
          </cell>
        </row>
        <row r="93">
          <cell r="I93">
            <v>140</v>
          </cell>
          <cell r="N93">
            <v>0</v>
          </cell>
        </row>
        <row r="94">
          <cell r="I94">
            <v>3961</v>
          </cell>
          <cell r="N94">
            <v>3961</v>
          </cell>
        </row>
        <row r="95">
          <cell r="I95">
            <v>0</v>
          </cell>
          <cell r="N95">
            <v>277</v>
          </cell>
        </row>
        <row r="96">
          <cell r="N96">
            <v>2119</v>
          </cell>
        </row>
        <row r="97">
          <cell r="I97">
            <v>300</v>
          </cell>
          <cell r="N97">
            <v>300</v>
          </cell>
        </row>
        <row r="98">
          <cell r="I98">
            <v>46741</v>
          </cell>
          <cell r="N98">
            <v>46099</v>
          </cell>
        </row>
        <row r="99">
          <cell r="I99">
            <v>949</v>
          </cell>
          <cell r="N99">
            <v>604</v>
          </cell>
        </row>
        <row r="100">
          <cell r="I100">
            <v>16950</v>
          </cell>
          <cell r="N100">
            <v>17036</v>
          </cell>
        </row>
        <row r="101">
          <cell r="I101">
            <v>29950</v>
          </cell>
          <cell r="N101">
            <v>31099</v>
          </cell>
        </row>
        <row r="102">
          <cell r="I102">
            <v>81</v>
          </cell>
          <cell r="N102">
            <v>81</v>
          </cell>
        </row>
        <row r="103">
          <cell r="I103">
            <v>444</v>
          </cell>
          <cell r="N103">
            <v>444</v>
          </cell>
        </row>
        <row r="104">
          <cell r="I104">
            <v>100</v>
          </cell>
          <cell r="N104">
            <v>134</v>
          </cell>
        </row>
        <row r="105">
          <cell r="I105">
            <v>1500</v>
          </cell>
          <cell r="N105">
            <v>85</v>
          </cell>
        </row>
        <row r="106">
          <cell r="I106">
            <v>3300</v>
          </cell>
          <cell r="N106">
            <v>1152</v>
          </cell>
        </row>
        <row r="107">
          <cell r="I107">
            <v>1800</v>
          </cell>
          <cell r="N107">
            <v>1387.61</v>
          </cell>
        </row>
        <row r="108">
          <cell r="J108">
            <v>1125.3699999999999</v>
          </cell>
        </row>
        <row r="109">
          <cell r="J109">
            <v>328815.95</v>
          </cell>
        </row>
        <row r="112">
          <cell r="I112">
            <v>116400</v>
          </cell>
          <cell r="N112">
            <v>104922</v>
          </cell>
        </row>
        <row r="113">
          <cell r="I113">
            <v>10655</v>
          </cell>
          <cell r="N113">
            <v>8703</v>
          </cell>
        </row>
        <row r="114">
          <cell r="I114">
            <v>75257</v>
          </cell>
          <cell r="N114">
            <v>75257</v>
          </cell>
        </row>
        <row r="115">
          <cell r="I115">
            <v>9950</v>
          </cell>
          <cell r="N115">
            <v>9221</v>
          </cell>
        </row>
        <row r="116">
          <cell r="I116">
            <v>300</v>
          </cell>
          <cell r="N116">
            <v>300</v>
          </cell>
        </row>
        <row r="117">
          <cell r="I117">
            <v>48751</v>
          </cell>
          <cell r="N117">
            <v>48729</v>
          </cell>
        </row>
        <row r="118">
          <cell r="I118">
            <v>948.6</v>
          </cell>
          <cell r="N118">
            <v>606</v>
          </cell>
        </row>
        <row r="119">
          <cell r="I119">
            <v>15500</v>
          </cell>
          <cell r="N119">
            <v>14572</v>
          </cell>
        </row>
        <row r="120">
          <cell r="I120">
            <v>26425</v>
          </cell>
          <cell r="N120">
            <v>25706</v>
          </cell>
        </row>
        <row r="121">
          <cell r="I121">
            <v>27</v>
          </cell>
          <cell r="N121">
            <v>27</v>
          </cell>
        </row>
        <row r="122">
          <cell r="I122">
            <v>364</v>
          </cell>
          <cell r="N122">
            <v>364</v>
          </cell>
        </row>
        <row r="123">
          <cell r="I123">
            <v>1560</v>
          </cell>
          <cell r="N123">
            <v>1415</v>
          </cell>
        </row>
        <row r="124">
          <cell r="I124">
            <v>68000</v>
          </cell>
          <cell r="N124">
            <v>58105</v>
          </cell>
        </row>
        <row r="125">
          <cell r="I125">
            <v>990</v>
          </cell>
          <cell r="N125">
            <v>997</v>
          </cell>
        </row>
        <row r="126">
          <cell r="I126">
            <v>33915</v>
          </cell>
          <cell r="N126">
            <v>29490</v>
          </cell>
        </row>
        <row r="127">
          <cell r="I127">
            <v>4400</v>
          </cell>
          <cell r="N127">
            <v>4016</v>
          </cell>
        </row>
        <row r="128">
          <cell r="I128">
            <v>1500</v>
          </cell>
          <cell r="N128">
            <v>1270</v>
          </cell>
        </row>
        <row r="129">
          <cell r="I129">
            <v>21216</v>
          </cell>
          <cell r="N129">
            <v>21216</v>
          </cell>
        </row>
        <row r="130">
          <cell r="I130">
            <v>5564</v>
          </cell>
          <cell r="N130">
            <v>5564</v>
          </cell>
        </row>
        <row r="131">
          <cell r="I131">
            <v>100</v>
          </cell>
          <cell r="N131">
            <v>113</v>
          </cell>
        </row>
        <row r="132">
          <cell r="I132">
            <v>310</v>
          </cell>
          <cell r="N132">
            <v>310</v>
          </cell>
        </row>
        <row r="133">
          <cell r="I133">
            <v>1800</v>
          </cell>
          <cell r="N133">
            <v>1302</v>
          </cell>
        </row>
        <row r="134">
          <cell r="I134">
            <v>200</v>
          </cell>
          <cell r="N134">
            <v>89</v>
          </cell>
        </row>
        <row r="135">
          <cell r="I135">
            <v>400</v>
          </cell>
          <cell r="N135">
            <v>352</v>
          </cell>
        </row>
        <row r="136">
          <cell r="I136">
            <v>1850</v>
          </cell>
          <cell r="N136">
            <v>869</v>
          </cell>
        </row>
        <row r="141">
          <cell r="I141">
            <v>284000</v>
          </cell>
          <cell r="N141">
            <v>258773</v>
          </cell>
        </row>
        <row r="142">
          <cell r="I142">
            <v>2500</v>
          </cell>
          <cell r="N142">
            <v>5769</v>
          </cell>
        </row>
        <row r="143">
          <cell r="I143">
            <v>4975</v>
          </cell>
          <cell r="N143">
            <v>4154</v>
          </cell>
        </row>
        <row r="144">
          <cell r="I144">
            <v>600</v>
          </cell>
          <cell r="N144">
            <v>600</v>
          </cell>
        </row>
        <row r="145">
          <cell r="I145">
            <v>80800</v>
          </cell>
          <cell r="N145">
            <v>63547</v>
          </cell>
        </row>
        <row r="146">
          <cell r="I146">
            <v>474.3</v>
          </cell>
          <cell r="N146">
            <v>326</v>
          </cell>
        </row>
        <row r="147">
          <cell r="I147">
            <v>22400</v>
          </cell>
          <cell r="N147">
            <v>19838</v>
          </cell>
        </row>
        <row r="148">
          <cell r="I148">
            <v>40300</v>
          </cell>
          <cell r="N148">
            <v>37035</v>
          </cell>
        </row>
        <row r="149">
          <cell r="I149">
            <v>108</v>
          </cell>
          <cell r="N149">
            <v>107.42</v>
          </cell>
        </row>
        <row r="152">
          <cell r="I152">
            <v>0</v>
          </cell>
          <cell r="N152">
            <v>0</v>
          </cell>
        </row>
        <row r="153">
          <cell r="I153">
            <v>2880</v>
          </cell>
          <cell r="N153">
            <v>3261.09</v>
          </cell>
        </row>
        <row r="154">
          <cell r="I154">
            <v>12750</v>
          </cell>
          <cell r="J154">
            <v>11576.82</v>
          </cell>
        </row>
        <row r="155">
          <cell r="I155">
            <v>25875</v>
          </cell>
          <cell r="N155">
            <v>27196.47</v>
          </cell>
        </row>
        <row r="156">
          <cell r="I156">
            <v>4800</v>
          </cell>
          <cell r="N156">
            <v>6701</v>
          </cell>
        </row>
        <row r="157">
          <cell r="I157">
            <v>195000</v>
          </cell>
          <cell r="N157">
            <v>185851</v>
          </cell>
        </row>
        <row r="158">
          <cell r="I158">
            <v>93000</v>
          </cell>
          <cell r="N158">
            <v>87289</v>
          </cell>
        </row>
        <row r="159">
          <cell r="I159">
            <v>33620</v>
          </cell>
          <cell r="N159">
            <v>31019</v>
          </cell>
        </row>
        <row r="160">
          <cell r="I160">
            <v>23230</v>
          </cell>
          <cell r="J160">
            <v>17150.509999999998</v>
          </cell>
        </row>
        <row r="164">
          <cell r="I164">
            <v>0</v>
          </cell>
        </row>
        <row r="165">
          <cell r="I165">
            <v>6500</v>
          </cell>
          <cell r="J165">
            <v>7628.39</v>
          </cell>
        </row>
        <row r="166">
          <cell r="I166">
            <v>8000</v>
          </cell>
          <cell r="N166">
            <v>5609.52</v>
          </cell>
        </row>
        <row r="167">
          <cell r="N167">
            <v>0</v>
          </cell>
        </row>
        <row r="168">
          <cell r="I168">
            <v>250</v>
          </cell>
          <cell r="N168">
            <v>589</v>
          </cell>
        </row>
        <row r="169">
          <cell r="I169">
            <v>200</v>
          </cell>
          <cell r="J169">
            <v>147.84</v>
          </cell>
        </row>
        <row r="170">
          <cell r="I170"/>
          <cell r="N170">
            <v>146.06</v>
          </cell>
        </row>
        <row r="171">
          <cell r="I171">
            <v>3000</v>
          </cell>
          <cell r="N171">
            <v>2485.85</v>
          </cell>
        </row>
        <row r="172">
          <cell r="I172">
            <v>0</v>
          </cell>
          <cell r="J172">
            <v>2672.18</v>
          </cell>
        </row>
        <row r="175">
          <cell r="J175">
            <v>850890.78000000014</v>
          </cell>
        </row>
        <row r="182">
          <cell r="I182">
            <v>742270</v>
          </cell>
          <cell r="N182">
            <v>660728.37</v>
          </cell>
        </row>
        <row r="183">
          <cell r="I183">
            <v>506800</v>
          </cell>
          <cell r="N183">
            <v>398198.45</v>
          </cell>
        </row>
        <row r="184">
          <cell r="I184">
            <v>90600</v>
          </cell>
          <cell r="N184">
            <v>46929.82</v>
          </cell>
        </row>
        <row r="185">
          <cell r="I185">
            <v>16000</v>
          </cell>
          <cell r="N185">
            <v>6302.8</v>
          </cell>
        </row>
        <row r="186">
          <cell r="I186">
            <v>361930</v>
          </cell>
          <cell r="N186">
            <v>383362.78</v>
          </cell>
        </row>
        <row r="187">
          <cell r="I187">
            <v>81735</v>
          </cell>
          <cell r="N187">
            <v>81735</v>
          </cell>
        </row>
        <row r="188">
          <cell r="I188">
            <v>47500</v>
          </cell>
          <cell r="N188">
            <v>47354</v>
          </cell>
        </row>
        <row r="189">
          <cell r="I189">
            <v>18000</v>
          </cell>
          <cell r="N189">
            <v>24996.43</v>
          </cell>
        </row>
        <row r="190">
          <cell r="I190">
            <v>0</v>
          </cell>
          <cell r="N190">
            <v>1188.02</v>
          </cell>
        </row>
        <row r="191">
          <cell r="I191">
            <v>27000</v>
          </cell>
          <cell r="N191">
            <v>45498.42</v>
          </cell>
        </row>
        <row r="192">
          <cell r="I192">
            <v>18500</v>
          </cell>
          <cell r="N192">
            <v>16542.28</v>
          </cell>
        </row>
        <row r="193">
          <cell r="I193">
            <v>6000</v>
          </cell>
          <cell r="N193">
            <v>3737.11</v>
          </cell>
        </row>
        <row r="194">
          <cell r="I194">
            <v>3300</v>
          </cell>
          <cell r="N194">
            <v>500</v>
          </cell>
        </row>
        <row r="195">
          <cell r="I195">
            <v>245101</v>
          </cell>
          <cell r="N195">
            <v>261685.66</v>
          </cell>
        </row>
        <row r="196">
          <cell r="I196">
            <v>948.6</v>
          </cell>
          <cell r="N196">
            <v>326.2</v>
          </cell>
        </row>
        <row r="197">
          <cell r="I197">
            <v>103830</v>
          </cell>
          <cell r="N197">
            <v>89553.51</v>
          </cell>
        </row>
        <row r="198">
          <cell r="I198">
            <v>321215</v>
          </cell>
          <cell r="N198">
            <v>263738.58</v>
          </cell>
        </row>
        <row r="199">
          <cell r="I199">
            <v>1531</v>
          </cell>
          <cell r="N199">
            <v>1530.74</v>
          </cell>
        </row>
        <row r="200">
          <cell r="I200">
            <v>23046</v>
          </cell>
          <cell r="N200">
            <v>23044.59</v>
          </cell>
        </row>
        <row r="201">
          <cell r="I201">
            <v>36437</v>
          </cell>
          <cell r="N201">
            <v>20986.87</v>
          </cell>
        </row>
        <row r="202">
          <cell r="I202">
            <v>645</v>
          </cell>
          <cell r="N202">
            <v>550.22</v>
          </cell>
        </row>
        <row r="203">
          <cell r="I203">
            <v>20240</v>
          </cell>
          <cell r="N203">
            <v>19205.11</v>
          </cell>
        </row>
        <row r="204">
          <cell r="I204">
            <v>29670</v>
          </cell>
          <cell r="N204">
            <v>25476.28</v>
          </cell>
        </row>
        <row r="205">
          <cell r="I205">
            <v>30001</v>
          </cell>
          <cell r="N205">
            <v>29704.27</v>
          </cell>
        </row>
        <row r="206">
          <cell r="I206">
            <v>15000</v>
          </cell>
          <cell r="N206">
            <v>10768.56</v>
          </cell>
        </row>
        <row r="207">
          <cell r="I207">
            <v>3504</v>
          </cell>
          <cell r="N207">
            <v>3509.85</v>
          </cell>
        </row>
        <row r="208">
          <cell r="I208">
            <v>27484</v>
          </cell>
          <cell r="N208">
            <v>27483.99</v>
          </cell>
        </row>
        <row r="209">
          <cell r="I209">
            <v>500</v>
          </cell>
          <cell r="N209">
            <v>124</v>
          </cell>
        </row>
        <row r="211">
          <cell r="I211">
            <v>575</v>
          </cell>
          <cell r="N211">
            <v>553.77</v>
          </cell>
        </row>
        <row r="212">
          <cell r="I212">
            <v>1625</v>
          </cell>
          <cell r="N212">
            <v>1607</v>
          </cell>
        </row>
        <row r="213">
          <cell r="I213">
            <v>800</v>
          </cell>
          <cell r="N213">
            <v>787.98</v>
          </cell>
        </row>
        <row r="214">
          <cell r="I214">
            <v>200</v>
          </cell>
          <cell r="N214">
            <v>0</v>
          </cell>
        </row>
        <row r="215">
          <cell r="I215">
            <v>10000</v>
          </cell>
          <cell r="N215">
            <v>7811.25</v>
          </cell>
        </row>
        <row r="216">
          <cell r="I216">
            <v>5550</v>
          </cell>
          <cell r="N216">
            <v>5190.1499999999996</v>
          </cell>
        </row>
        <row r="217">
          <cell r="I217">
            <v>10000</v>
          </cell>
          <cell r="N217">
            <v>13485.58</v>
          </cell>
        </row>
        <row r="218">
          <cell r="I218">
            <v>500</v>
          </cell>
          <cell r="N218">
            <v>462.54</v>
          </cell>
        </row>
        <row r="219">
          <cell r="I219">
            <v>6600</v>
          </cell>
          <cell r="N219">
            <v>6742.98</v>
          </cell>
        </row>
        <row r="220">
          <cell r="I220">
            <v>6000</v>
          </cell>
          <cell r="N220">
            <v>3453.56</v>
          </cell>
        </row>
        <row r="221">
          <cell r="I221">
            <v>3185</v>
          </cell>
          <cell r="N221">
            <v>3172.73</v>
          </cell>
        </row>
        <row r="222">
          <cell r="I222">
            <v>1000</v>
          </cell>
          <cell r="N222">
            <v>952.52</v>
          </cell>
        </row>
        <row r="223">
          <cell r="I223">
            <v>2200</v>
          </cell>
          <cell r="N223">
            <v>3296.04</v>
          </cell>
        </row>
        <row r="224">
          <cell r="I224">
            <v>25000</v>
          </cell>
          <cell r="N224">
            <v>29873.81</v>
          </cell>
        </row>
        <row r="225">
          <cell r="I225">
            <v>10000</v>
          </cell>
          <cell r="N225">
            <v>12870.11</v>
          </cell>
        </row>
        <row r="226">
          <cell r="I226">
            <v>300</v>
          </cell>
          <cell r="N226">
            <v>225</v>
          </cell>
        </row>
        <row r="227">
          <cell r="I227">
            <v>9600</v>
          </cell>
          <cell r="N227">
            <v>9485.7800000000007</v>
          </cell>
        </row>
        <row r="228">
          <cell r="J228">
            <v>54694.51</v>
          </cell>
        </row>
        <row r="232">
          <cell r="I232">
            <v>2462600</v>
          </cell>
          <cell r="N232">
            <v>2344531.35</v>
          </cell>
        </row>
        <row r="233">
          <cell r="I233">
            <v>201100</v>
          </cell>
          <cell r="N233">
            <v>180928.18</v>
          </cell>
        </row>
        <row r="234">
          <cell r="I234">
            <v>90000</v>
          </cell>
          <cell r="N234">
            <v>87294.9</v>
          </cell>
        </row>
        <row r="235">
          <cell r="I235">
            <v>36600</v>
          </cell>
          <cell r="N235">
            <v>77764.929999999993</v>
          </cell>
        </row>
        <row r="236">
          <cell r="I236">
            <v>667</v>
          </cell>
          <cell r="N236">
            <v>665.04</v>
          </cell>
        </row>
        <row r="237">
          <cell r="I237">
            <v>5550</v>
          </cell>
          <cell r="N237">
            <v>6000</v>
          </cell>
        </row>
        <row r="238">
          <cell r="I238">
            <v>647100</v>
          </cell>
          <cell r="N238">
            <v>592699.47</v>
          </cell>
        </row>
        <row r="239">
          <cell r="I239">
            <v>3825</v>
          </cell>
          <cell r="N239">
            <v>3029</v>
          </cell>
        </row>
        <row r="240">
          <cell r="I240">
            <v>60750</v>
          </cell>
          <cell r="N240">
            <v>52954.01</v>
          </cell>
        </row>
        <row r="241">
          <cell r="I241">
            <v>828350</v>
          </cell>
          <cell r="N241">
            <v>785226.23999999999</v>
          </cell>
        </row>
        <row r="242">
          <cell r="I242">
            <v>1558</v>
          </cell>
          <cell r="N242">
            <v>1557.59</v>
          </cell>
        </row>
        <row r="243">
          <cell r="I243">
            <v>53863</v>
          </cell>
          <cell r="N243">
            <v>53862.55</v>
          </cell>
        </row>
        <row r="244">
          <cell r="I244">
            <v>1000</v>
          </cell>
          <cell r="N244">
            <v>892.77</v>
          </cell>
        </row>
        <row r="245">
          <cell r="I245">
            <v>64350</v>
          </cell>
          <cell r="N245">
            <v>64350</v>
          </cell>
        </row>
        <row r="246">
          <cell r="I246">
            <v>1000</v>
          </cell>
          <cell r="N246">
            <v>0</v>
          </cell>
        </row>
        <row r="247">
          <cell r="I247">
            <v>3900</v>
          </cell>
          <cell r="N247">
            <v>3900</v>
          </cell>
        </row>
        <row r="248">
          <cell r="I248">
            <v>2745</v>
          </cell>
          <cell r="N248">
            <v>1758</v>
          </cell>
        </row>
        <row r="249">
          <cell r="I249">
            <v>3284</v>
          </cell>
          <cell r="N249">
            <v>3355.6</v>
          </cell>
        </row>
        <row r="250">
          <cell r="I250">
            <v>3215</v>
          </cell>
          <cell r="N250">
            <v>2750.99</v>
          </cell>
        </row>
        <row r="251">
          <cell r="I251">
            <v>600</v>
          </cell>
          <cell r="N251">
            <v>792.17</v>
          </cell>
        </row>
        <row r="252">
          <cell r="I252">
            <v>797430</v>
          </cell>
          <cell r="N252">
            <v>766065.03</v>
          </cell>
        </row>
        <row r="253">
          <cell r="I253">
            <v>17000</v>
          </cell>
          <cell r="N253">
            <v>13808.19</v>
          </cell>
        </row>
        <row r="254">
          <cell r="I254">
            <v>2500</v>
          </cell>
          <cell r="N254">
            <v>0</v>
          </cell>
        </row>
        <row r="255">
          <cell r="I255">
            <v>3780</v>
          </cell>
          <cell r="N255">
            <v>2681.2</v>
          </cell>
        </row>
        <row r="256">
          <cell r="I256">
            <v>200000</v>
          </cell>
          <cell r="N256">
            <v>188571.92</v>
          </cell>
        </row>
        <row r="257">
          <cell r="I257">
            <v>500</v>
          </cell>
          <cell r="N257">
            <v>4633.74</v>
          </cell>
        </row>
        <row r="258">
          <cell r="I258">
            <v>1700</v>
          </cell>
          <cell r="N258">
            <v>4118.58</v>
          </cell>
        </row>
        <row r="259">
          <cell r="I259">
            <v>3900</v>
          </cell>
          <cell r="N259">
            <v>4139.57</v>
          </cell>
        </row>
        <row r="260">
          <cell r="I260">
            <v>13478</v>
          </cell>
          <cell r="N260">
            <v>13477.66</v>
          </cell>
        </row>
        <row r="261">
          <cell r="I261">
            <v>0</v>
          </cell>
          <cell r="N261">
            <v>137.85</v>
          </cell>
        </row>
        <row r="262">
          <cell r="I262">
            <v>3385</v>
          </cell>
          <cell r="N262">
            <v>3410</v>
          </cell>
        </row>
        <row r="263">
          <cell r="I263">
            <v>1000</v>
          </cell>
          <cell r="N263">
            <v>885.41</v>
          </cell>
        </row>
        <row r="264">
          <cell r="I264">
            <v>9000</v>
          </cell>
          <cell r="N264">
            <v>6586.92</v>
          </cell>
        </row>
        <row r="265">
          <cell r="I265">
            <v>10487</v>
          </cell>
          <cell r="N265">
            <v>10006.33</v>
          </cell>
        </row>
        <row r="266">
          <cell r="I266">
            <v>14500</v>
          </cell>
          <cell r="N266">
            <v>12332.39</v>
          </cell>
        </row>
        <row r="267">
          <cell r="I267">
            <v>10000</v>
          </cell>
          <cell r="N267">
            <v>7953.4</v>
          </cell>
        </row>
        <row r="268">
          <cell r="I268">
            <v>2413</v>
          </cell>
          <cell r="N268">
            <v>2067.1</v>
          </cell>
        </row>
        <row r="269">
          <cell r="I269">
            <v>3000</v>
          </cell>
          <cell r="N269">
            <v>1108.8499999999999</v>
          </cell>
        </row>
        <row r="270">
          <cell r="I270">
            <v>1500</v>
          </cell>
          <cell r="N270">
            <v>1078.5899999999999</v>
          </cell>
        </row>
        <row r="271">
          <cell r="I271">
            <v>373</v>
          </cell>
          <cell r="N271">
            <v>413.49</v>
          </cell>
        </row>
        <row r="272">
          <cell r="I272">
            <v>2500</v>
          </cell>
          <cell r="N272">
            <v>1513.73</v>
          </cell>
        </row>
        <row r="273">
          <cell r="I273">
            <v>16100</v>
          </cell>
          <cell r="N273">
            <v>14195.98</v>
          </cell>
        </row>
        <row r="274">
          <cell r="I274">
            <v>2000</v>
          </cell>
          <cell r="N274">
            <v>0</v>
          </cell>
        </row>
        <row r="275">
          <cell r="I275">
            <v>2000</v>
          </cell>
          <cell r="N275">
            <v>665.78</v>
          </cell>
        </row>
        <row r="276">
          <cell r="I276">
            <v>1980</v>
          </cell>
          <cell r="N276">
            <v>2020</v>
          </cell>
        </row>
        <row r="281">
          <cell r="I281">
            <v>136575</v>
          </cell>
          <cell r="N281">
            <v>124837</v>
          </cell>
        </row>
        <row r="282">
          <cell r="I282">
            <v>0</v>
          </cell>
          <cell r="N282">
            <v>0</v>
          </cell>
        </row>
        <row r="283">
          <cell r="I283">
            <v>10450</v>
          </cell>
          <cell r="N283">
            <v>9550</v>
          </cell>
        </row>
        <row r="284">
          <cell r="I284">
            <v>81</v>
          </cell>
        </row>
        <row r="285">
          <cell r="I285">
            <v>222</v>
          </cell>
        </row>
        <row r="286">
          <cell r="I286">
            <v>1594</v>
          </cell>
          <cell r="N286">
            <v>1572</v>
          </cell>
        </row>
        <row r="287">
          <cell r="I287">
            <v>1685</v>
          </cell>
          <cell r="N287">
            <v>0</v>
          </cell>
        </row>
        <row r="288">
          <cell r="I288">
            <v>3930</v>
          </cell>
          <cell r="N288">
            <v>3929.28</v>
          </cell>
        </row>
        <row r="289">
          <cell r="I289">
            <v>1710</v>
          </cell>
          <cell r="N289">
            <v>807</v>
          </cell>
        </row>
        <row r="290">
          <cell r="I290">
            <v>430</v>
          </cell>
          <cell r="N290">
            <v>0</v>
          </cell>
        </row>
        <row r="291">
          <cell r="I291">
            <v>0</v>
          </cell>
          <cell r="N291">
            <v>532</v>
          </cell>
        </row>
        <row r="292">
          <cell r="I292">
            <v>560</v>
          </cell>
          <cell r="N292">
            <v>587</v>
          </cell>
        </row>
        <row r="293">
          <cell r="I293">
            <v>30</v>
          </cell>
          <cell r="N293">
            <v>11</v>
          </cell>
        </row>
        <row r="294">
          <cell r="I294">
            <v>400</v>
          </cell>
          <cell r="N294">
            <v>308</v>
          </cell>
        </row>
        <row r="299">
          <cell r="J299">
            <v>7564872</v>
          </cell>
        </row>
        <row r="302">
          <cell r="I302">
            <v>165000</v>
          </cell>
          <cell r="N302">
            <v>165000</v>
          </cell>
        </row>
        <row r="303">
          <cell r="I303">
            <v>50000</v>
          </cell>
          <cell r="N303">
            <v>50000</v>
          </cell>
        </row>
        <row r="304">
          <cell r="I304">
            <v>32000</v>
          </cell>
          <cell r="N304">
            <v>32000</v>
          </cell>
        </row>
        <row r="308">
          <cell r="I308"/>
          <cell r="N308"/>
        </row>
        <row r="309">
          <cell r="I309">
            <v>9000</v>
          </cell>
          <cell r="N309">
            <v>8100</v>
          </cell>
        </row>
        <row r="310">
          <cell r="I310">
            <v>195365</v>
          </cell>
          <cell r="N310">
            <v>195365</v>
          </cell>
        </row>
        <row r="321">
          <cell r="I321">
            <v>5500</v>
          </cell>
          <cell r="N321">
            <v>5400</v>
          </cell>
        </row>
        <row r="322">
          <cell r="I322">
            <v>9635</v>
          </cell>
          <cell r="N322">
            <v>9635</v>
          </cell>
        </row>
        <row r="323">
          <cell r="I323">
            <v>120390</v>
          </cell>
          <cell r="N323">
            <v>133274.12</v>
          </cell>
        </row>
        <row r="327">
          <cell r="I327">
            <v>562100</v>
          </cell>
          <cell r="N327">
            <v>560326</v>
          </cell>
        </row>
        <row r="328">
          <cell r="I328">
            <v>41850</v>
          </cell>
          <cell r="N328">
            <v>50915</v>
          </cell>
        </row>
        <row r="329">
          <cell r="I329">
            <v>1000</v>
          </cell>
          <cell r="N329">
            <v>1352</v>
          </cell>
        </row>
        <row r="330">
          <cell r="I330">
            <v>4400</v>
          </cell>
          <cell r="N330">
            <v>10673</v>
          </cell>
        </row>
        <row r="331">
          <cell r="I331">
            <v>2050</v>
          </cell>
          <cell r="N331">
            <v>2050</v>
          </cell>
        </row>
        <row r="332">
          <cell r="I332">
            <v>118500</v>
          </cell>
          <cell r="N332">
            <v>135169</v>
          </cell>
        </row>
        <row r="333">
          <cell r="I333">
            <v>1935</v>
          </cell>
          <cell r="N333">
            <v>1591</v>
          </cell>
        </row>
        <row r="334">
          <cell r="I334">
            <v>46800</v>
          </cell>
          <cell r="N334">
            <v>45743</v>
          </cell>
        </row>
        <row r="335">
          <cell r="I335">
            <v>78600</v>
          </cell>
          <cell r="N335">
            <v>78292</v>
          </cell>
        </row>
        <row r="336">
          <cell r="I336">
            <v>350</v>
          </cell>
          <cell r="N336">
            <v>349.12</v>
          </cell>
        </row>
        <row r="337">
          <cell r="I337">
            <v>1551</v>
          </cell>
          <cell r="N337">
            <v>1550.3</v>
          </cell>
        </row>
        <row r="338">
          <cell r="I338">
            <v>500000</v>
          </cell>
          <cell r="N338">
            <v>529896</v>
          </cell>
        </row>
        <row r="339">
          <cell r="I339">
            <v>32880</v>
          </cell>
          <cell r="N339">
            <v>30630</v>
          </cell>
        </row>
        <row r="340">
          <cell r="I340">
            <v>0</v>
          </cell>
          <cell r="N340">
            <v>0</v>
          </cell>
        </row>
        <row r="341">
          <cell r="I341">
            <v>7780</v>
          </cell>
          <cell r="N341">
            <v>7485</v>
          </cell>
        </row>
        <row r="342">
          <cell r="I342">
            <v>5000</v>
          </cell>
          <cell r="N342">
            <v>4812</v>
          </cell>
        </row>
        <row r="343">
          <cell r="I343">
            <v>44790</v>
          </cell>
          <cell r="N343">
            <v>53986.559999999998</v>
          </cell>
        </row>
        <row r="344">
          <cell r="I344">
            <v>115303</v>
          </cell>
          <cell r="N344">
            <v>107184.83</v>
          </cell>
        </row>
        <row r="345">
          <cell r="I345">
            <v>6000</v>
          </cell>
          <cell r="N345">
            <v>6000</v>
          </cell>
        </row>
        <row r="346">
          <cell r="I346">
            <v>14152</v>
          </cell>
          <cell r="N346">
            <v>18615</v>
          </cell>
        </row>
        <row r="347">
          <cell r="I347">
            <v>5250</v>
          </cell>
          <cell r="N347">
            <v>5355</v>
          </cell>
        </row>
        <row r="348">
          <cell r="I348">
            <v>400</v>
          </cell>
          <cell r="N348">
            <v>160</v>
          </cell>
        </row>
        <row r="349">
          <cell r="I349">
            <v>4800</v>
          </cell>
          <cell r="N349">
            <v>7964</v>
          </cell>
        </row>
        <row r="350">
          <cell r="I350">
            <v>24504</v>
          </cell>
          <cell r="N350">
            <v>24503.360000000001</v>
          </cell>
        </row>
        <row r="351">
          <cell r="N351">
            <v>8647</v>
          </cell>
        </row>
        <row r="352">
          <cell r="N352">
            <v>3048</v>
          </cell>
        </row>
        <row r="353">
          <cell r="N353">
            <v>10858</v>
          </cell>
        </row>
        <row r="354">
          <cell r="N354">
            <v>220</v>
          </cell>
        </row>
        <row r="355">
          <cell r="N355">
            <v>10173</v>
          </cell>
        </row>
        <row r="356">
          <cell r="N356">
            <v>1318</v>
          </cell>
        </row>
        <row r="360">
          <cell r="I360"/>
        </row>
        <row r="361">
          <cell r="I361">
            <v>88100</v>
          </cell>
          <cell r="N361">
            <v>79565.38</v>
          </cell>
        </row>
        <row r="362">
          <cell r="I362">
            <v>3000</v>
          </cell>
          <cell r="N362">
            <v>3414.05</v>
          </cell>
        </row>
        <row r="363">
          <cell r="I363">
            <v>0</v>
          </cell>
          <cell r="N363">
            <v>3057.27</v>
          </cell>
        </row>
        <row r="364">
          <cell r="I364">
            <v>0</v>
          </cell>
          <cell r="N364">
            <v>0</v>
          </cell>
        </row>
        <row r="365">
          <cell r="I365">
            <v>20146</v>
          </cell>
          <cell r="N365">
            <v>10458.64</v>
          </cell>
        </row>
        <row r="366">
          <cell r="I366">
            <v>948.6</v>
          </cell>
          <cell r="N366">
            <v>0</v>
          </cell>
        </row>
        <row r="367">
          <cell r="I367">
            <v>7000</v>
          </cell>
          <cell r="N367">
            <v>6428.77</v>
          </cell>
        </row>
        <row r="368">
          <cell r="I368">
            <v>12600</v>
          </cell>
          <cell r="N368">
            <v>11626.2</v>
          </cell>
        </row>
        <row r="369">
          <cell r="I369">
            <v>54</v>
          </cell>
          <cell r="N369">
            <v>53.71</v>
          </cell>
        </row>
        <row r="370">
          <cell r="I370">
            <v>1948</v>
          </cell>
          <cell r="N370">
            <v>1947.73</v>
          </cell>
        </row>
        <row r="371">
          <cell r="I371">
            <v>7700</v>
          </cell>
          <cell r="N371">
            <v>7351.69</v>
          </cell>
        </row>
        <row r="372">
          <cell r="I372">
            <v>66130</v>
          </cell>
          <cell r="N372">
            <v>71551</v>
          </cell>
        </row>
        <row r="373">
          <cell r="I373">
            <v>175000</v>
          </cell>
          <cell r="N373">
            <v>244993.65</v>
          </cell>
        </row>
        <row r="374">
          <cell r="I374">
            <v>109673</v>
          </cell>
          <cell r="N374">
            <v>92566.68</v>
          </cell>
        </row>
        <row r="375">
          <cell r="I375">
            <v>34500</v>
          </cell>
          <cell r="N375">
            <v>33288.07</v>
          </cell>
        </row>
        <row r="376">
          <cell r="N376">
            <v>68030</v>
          </cell>
        </row>
        <row r="377">
          <cell r="N377">
            <v>810.28</v>
          </cell>
        </row>
        <row r="378">
          <cell r="N378">
            <v>23823.98</v>
          </cell>
        </row>
        <row r="379">
          <cell r="N379">
            <v>175.91</v>
          </cell>
        </row>
        <row r="380">
          <cell r="N380">
            <v>2277.35</v>
          </cell>
        </row>
        <row r="381">
          <cell r="J381">
            <v>9484.2199999999993</v>
          </cell>
        </row>
        <row r="382">
          <cell r="I382">
            <v>4900</v>
          </cell>
          <cell r="N382">
            <v>0</v>
          </cell>
        </row>
        <row r="383">
          <cell r="I383">
            <v>2500</v>
          </cell>
          <cell r="N383">
            <v>3536.68</v>
          </cell>
        </row>
        <row r="388">
          <cell r="I388">
            <v>152900</v>
          </cell>
          <cell r="N388">
            <v>118096.38</v>
          </cell>
        </row>
        <row r="389">
          <cell r="I389">
            <v>3500</v>
          </cell>
          <cell r="N389">
            <v>3158.75</v>
          </cell>
        </row>
        <row r="390">
          <cell r="I390">
            <v>6000</v>
          </cell>
          <cell r="N390">
            <v>10610.7</v>
          </cell>
        </row>
        <row r="391">
          <cell r="I391">
            <v>0</v>
          </cell>
          <cell r="N391">
            <v>0</v>
          </cell>
        </row>
        <row r="392">
          <cell r="I392">
            <v>1100</v>
          </cell>
          <cell r="N392">
            <v>650</v>
          </cell>
        </row>
        <row r="393">
          <cell r="I393">
            <v>40669</v>
          </cell>
          <cell r="N393">
            <v>20492.68</v>
          </cell>
        </row>
        <row r="394">
          <cell r="I394">
            <v>1422.9</v>
          </cell>
          <cell r="N394">
            <v>0</v>
          </cell>
        </row>
        <row r="395">
          <cell r="I395">
            <v>12100</v>
          </cell>
          <cell r="N395">
            <v>10095.219999999999</v>
          </cell>
        </row>
        <row r="396">
          <cell r="I396">
            <v>21900</v>
          </cell>
          <cell r="N396">
            <v>18069.18</v>
          </cell>
        </row>
        <row r="397">
          <cell r="I397">
            <v>81</v>
          </cell>
          <cell r="N397">
            <v>80.569999999999993</v>
          </cell>
        </row>
        <row r="398">
          <cell r="I398">
            <v>2700</v>
          </cell>
          <cell r="N398">
            <v>2699.46</v>
          </cell>
        </row>
        <row r="399">
          <cell r="I399">
            <v>1500</v>
          </cell>
          <cell r="N399">
            <v>1341.52</v>
          </cell>
        </row>
        <row r="400">
          <cell r="I400">
            <v>600</v>
          </cell>
          <cell r="N400">
            <v>387.44</v>
          </cell>
        </row>
        <row r="405">
          <cell r="I405">
            <v>1442627</v>
          </cell>
          <cell r="N405">
            <v>1347739.55</v>
          </cell>
        </row>
        <row r="406">
          <cell r="I406">
            <v>4440</v>
          </cell>
          <cell r="N406">
            <v>10425</v>
          </cell>
        </row>
        <row r="407">
          <cell r="I407">
            <v>2500</v>
          </cell>
          <cell r="N407">
            <v>636</v>
          </cell>
        </row>
        <row r="408">
          <cell r="I408">
            <v>0</v>
          </cell>
          <cell r="N408">
            <v>6297.75</v>
          </cell>
        </row>
        <row r="409">
          <cell r="I409">
            <v>1449567</v>
          </cell>
          <cell r="N409">
            <v>1365098.3</v>
          </cell>
        </row>
        <row r="412">
          <cell r="I412">
            <v>3103300</v>
          </cell>
          <cell r="N412">
            <v>2918755</v>
          </cell>
        </row>
        <row r="413">
          <cell r="I413">
            <v>100000</v>
          </cell>
          <cell r="N413">
            <v>86450</v>
          </cell>
        </row>
        <row r="414">
          <cell r="I414">
            <v>397800</v>
          </cell>
          <cell r="N414">
            <v>335836</v>
          </cell>
        </row>
        <row r="415">
          <cell r="I415">
            <v>250000</v>
          </cell>
          <cell r="N415">
            <v>280473</v>
          </cell>
        </row>
        <row r="416">
          <cell r="I416">
            <v>32200</v>
          </cell>
          <cell r="N416">
            <v>88476</v>
          </cell>
        </row>
        <row r="417">
          <cell r="I417">
            <v>1406</v>
          </cell>
          <cell r="N417">
            <v>1406</v>
          </cell>
        </row>
        <row r="418">
          <cell r="I418">
            <v>5650</v>
          </cell>
          <cell r="N418">
            <v>6400</v>
          </cell>
        </row>
        <row r="419">
          <cell r="I419">
            <v>154500</v>
          </cell>
          <cell r="N419">
            <v>156906</v>
          </cell>
        </row>
        <row r="420">
          <cell r="I420">
            <v>1148900</v>
          </cell>
          <cell r="N420">
            <v>772621</v>
          </cell>
        </row>
        <row r="421">
          <cell r="I421">
            <v>4995</v>
          </cell>
          <cell r="N421">
            <v>2747</v>
          </cell>
        </row>
        <row r="422">
          <cell r="I422">
            <v>252332</v>
          </cell>
          <cell r="N422">
            <v>283787</v>
          </cell>
        </row>
        <row r="423">
          <cell r="I423">
            <v>455187</v>
          </cell>
          <cell r="N423">
            <v>469886</v>
          </cell>
        </row>
        <row r="424">
          <cell r="I424">
            <v>2686</v>
          </cell>
          <cell r="N424">
            <v>2686</v>
          </cell>
        </row>
        <row r="425">
          <cell r="I425">
            <v>76672</v>
          </cell>
          <cell r="N425">
            <v>76671.39</v>
          </cell>
        </row>
        <row r="426">
          <cell r="I426">
            <v>21600</v>
          </cell>
          <cell r="N426">
            <v>8040</v>
          </cell>
        </row>
        <row r="427">
          <cell r="I427">
            <v>1000</v>
          </cell>
          <cell r="N427">
            <v>1181</v>
          </cell>
        </row>
        <row r="428">
          <cell r="I428">
            <v>871500</v>
          </cell>
          <cell r="N428">
            <v>1308385</v>
          </cell>
        </row>
        <row r="429">
          <cell r="I429">
            <v>142500</v>
          </cell>
          <cell r="N429">
            <v>129956</v>
          </cell>
        </row>
        <row r="430">
          <cell r="I430">
            <v>22000</v>
          </cell>
          <cell r="N430">
            <v>30169</v>
          </cell>
        </row>
        <row r="431">
          <cell r="I431">
            <v>5000</v>
          </cell>
          <cell r="N431">
            <v>3991</v>
          </cell>
        </row>
        <row r="432">
          <cell r="I432">
            <v>0</v>
          </cell>
          <cell r="N432">
            <v>-88</v>
          </cell>
        </row>
        <row r="433">
          <cell r="J433">
            <v>2915</v>
          </cell>
        </row>
        <row r="437">
          <cell r="I437">
            <v>121100</v>
          </cell>
          <cell r="N437">
            <v>92792.08</v>
          </cell>
        </row>
        <row r="438">
          <cell r="I438">
            <v>0</v>
          </cell>
          <cell r="N438">
            <v>21.2</v>
          </cell>
        </row>
        <row r="439">
          <cell r="I439">
            <v>12000</v>
          </cell>
          <cell r="N439">
            <v>8307.6</v>
          </cell>
        </row>
        <row r="440">
          <cell r="I440">
            <v>0</v>
          </cell>
          <cell r="N440">
            <v>0</v>
          </cell>
        </row>
        <row r="441">
          <cell r="I441">
            <v>10073</v>
          </cell>
          <cell r="N441">
            <v>10588.47</v>
          </cell>
        </row>
        <row r="442">
          <cell r="I442">
            <v>474.3</v>
          </cell>
          <cell r="N442">
            <v>0</v>
          </cell>
        </row>
        <row r="443">
          <cell r="I443">
            <v>10300</v>
          </cell>
          <cell r="N443">
            <v>7498.28</v>
          </cell>
        </row>
        <row r="444">
          <cell r="I444">
            <v>18500</v>
          </cell>
          <cell r="N444">
            <v>13579.22</v>
          </cell>
        </row>
        <row r="445">
          <cell r="I445">
            <v>81</v>
          </cell>
          <cell r="N445">
            <v>80.569999999999993</v>
          </cell>
        </row>
        <row r="446">
          <cell r="I446">
            <v>2244</v>
          </cell>
          <cell r="N446">
            <v>2243.42</v>
          </cell>
        </row>
        <row r="447">
          <cell r="I447">
            <v>4000</v>
          </cell>
          <cell r="N447">
            <v>4237.9399999999996</v>
          </cell>
        </row>
        <row r="448">
          <cell r="I448">
            <v>6500</v>
          </cell>
          <cell r="N448">
            <v>4768.8500000000004</v>
          </cell>
        </row>
        <row r="449">
          <cell r="I449">
            <v>600</v>
          </cell>
          <cell r="N449">
            <v>400</v>
          </cell>
        </row>
        <row r="450">
          <cell r="I450">
            <v>-3780</v>
          </cell>
          <cell r="J450">
            <v>-2681.2</v>
          </cell>
        </row>
        <row r="455">
          <cell r="I455">
            <v>230250</v>
          </cell>
          <cell r="N455">
            <v>216134</v>
          </cell>
        </row>
        <row r="456">
          <cell r="I456">
            <v>56565</v>
          </cell>
          <cell r="N456">
            <v>12779</v>
          </cell>
        </row>
        <row r="457">
          <cell r="I457">
            <v>10000</v>
          </cell>
          <cell r="N457">
            <v>9726</v>
          </cell>
        </row>
        <row r="458">
          <cell r="I458">
            <v>6000</v>
          </cell>
          <cell r="N458">
            <v>4506</v>
          </cell>
        </row>
        <row r="459">
          <cell r="I459">
            <v>552</v>
          </cell>
          <cell r="J459">
            <v>551.28</v>
          </cell>
        </row>
        <row r="460">
          <cell r="I460">
            <v>950</v>
          </cell>
          <cell r="N460">
            <v>0</v>
          </cell>
        </row>
        <row r="461">
          <cell r="I461">
            <v>81300</v>
          </cell>
          <cell r="N461">
            <v>79763</v>
          </cell>
        </row>
        <row r="462">
          <cell r="I462">
            <v>495</v>
          </cell>
          <cell r="N462">
            <v>136</v>
          </cell>
        </row>
        <row r="463">
          <cell r="I463">
            <v>21240</v>
          </cell>
          <cell r="N463">
            <v>17642</v>
          </cell>
        </row>
        <row r="464">
          <cell r="I464">
            <v>33200</v>
          </cell>
          <cell r="N464">
            <v>31833</v>
          </cell>
        </row>
        <row r="465">
          <cell r="I465">
            <v>188</v>
          </cell>
          <cell r="N465">
            <v>188</v>
          </cell>
        </row>
        <row r="466">
          <cell r="I466">
            <v>7765</v>
          </cell>
          <cell r="J466">
            <v>7764.02</v>
          </cell>
        </row>
        <row r="467">
          <cell r="I467">
            <v>20000</v>
          </cell>
          <cell r="N467">
            <v>20727</v>
          </cell>
        </row>
        <row r="468">
          <cell r="I468">
            <v>800</v>
          </cell>
          <cell r="J468">
            <v>200</v>
          </cell>
        </row>
        <row r="473">
          <cell r="I473">
            <v>21600</v>
          </cell>
          <cell r="J473">
            <v>18000</v>
          </cell>
        </row>
        <row r="474">
          <cell r="I474">
            <v>12000</v>
          </cell>
          <cell r="J474">
            <v>10392.24</v>
          </cell>
        </row>
        <row r="475">
          <cell r="I475">
            <v>9000</v>
          </cell>
          <cell r="N475">
            <v>9954.2099999999991</v>
          </cell>
        </row>
        <row r="476">
          <cell r="I476">
            <v>23000</v>
          </cell>
          <cell r="N476">
            <v>17400</v>
          </cell>
        </row>
        <row r="477">
          <cell r="I477">
            <v>150000</v>
          </cell>
          <cell r="J477">
            <v>203143.56</v>
          </cell>
        </row>
        <row r="478">
          <cell r="I478">
            <v>300000</v>
          </cell>
          <cell r="N478">
            <v>218191.65</v>
          </cell>
        </row>
        <row r="479">
          <cell r="I479">
            <v>1000</v>
          </cell>
          <cell r="N479">
            <v>0</v>
          </cell>
        </row>
        <row r="484">
          <cell r="I484">
            <v>260100</v>
          </cell>
          <cell r="N484">
            <v>244937.34</v>
          </cell>
        </row>
        <row r="485">
          <cell r="I485">
            <v>1000</v>
          </cell>
          <cell r="N485">
            <v>863</v>
          </cell>
        </row>
        <row r="486">
          <cell r="I486">
            <v>4500</v>
          </cell>
          <cell r="N486">
            <v>13721.4</v>
          </cell>
        </row>
        <row r="487">
          <cell r="I487">
            <v>0</v>
          </cell>
          <cell r="N487">
            <v>0</v>
          </cell>
        </row>
        <row r="488">
          <cell r="I488">
            <v>1300</v>
          </cell>
          <cell r="N488">
            <v>1300</v>
          </cell>
        </row>
        <row r="489">
          <cell r="I489">
            <v>91900</v>
          </cell>
          <cell r="N489">
            <v>79345.95</v>
          </cell>
        </row>
        <row r="490">
          <cell r="I490">
            <v>495</v>
          </cell>
          <cell r="N490">
            <v>326.2</v>
          </cell>
        </row>
        <row r="491">
          <cell r="I491">
            <v>20450</v>
          </cell>
          <cell r="N491">
            <v>18245.54</v>
          </cell>
        </row>
        <row r="492">
          <cell r="I492">
            <v>36900</v>
          </cell>
          <cell r="N492">
            <v>35494.550000000003</v>
          </cell>
        </row>
        <row r="493">
          <cell r="I493">
            <v>135</v>
          </cell>
          <cell r="N493">
            <v>134.28</v>
          </cell>
        </row>
        <row r="494">
          <cell r="I494">
            <v>3915</v>
          </cell>
          <cell r="N494">
            <v>3914.03</v>
          </cell>
        </row>
        <row r="495">
          <cell r="I495">
            <v>4500</v>
          </cell>
          <cell r="N495">
            <v>5547.33</v>
          </cell>
        </row>
        <row r="496">
          <cell r="J496">
            <v>4744.83</v>
          </cell>
        </row>
        <row r="500">
          <cell r="I500">
            <v>27300</v>
          </cell>
          <cell r="N500">
            <v>21149</v>
          </cell>
        </row>
        <row r="501">
          <cell r="I501">
            <v>2100</v>
          </cell>
          <cell r="N501">
            <v>1618</v>
          </cell>
        </row>
        <row r="502">
          <cell r="I502">
            <v>81</v>
          </cell>
          <cell r="N502">
            <v>81</v>
          </cell>
        </row>
        <row r="503">
          <cell r="I503">
            <v>270</v>
          </cell>
          <cell r="N503">
            <v>270</v>
          </cell>
        </row>
        <row r="504">
          <cell r="J504">
            <v>916.44</v>
          </cell>
        </row>
      </sheetData>
      <sheetData sheetId="1">
        <row r="5">
          <cell r="L5">
            <v>85847.84</v>
          </cell>
        </row>
        <row r="10">
          <cell r="I10">
            <v>20667052</v>
          </cell>
        </row>
        <row r="11">
          <cell r="L11">
            <v>351901.21</v>
          </cell>
        </row>
        <row r="12">
          <cell r="L12">
            <v>204117.93</v>
          </cell>
        </row>
        <row r="13">
          <cell r="L13">
            <v>297740.03999999998</v>
          </cell>
        </row>
        <row r="14">
          <cell r="L14">
            <v>1320</v>
          </cell>
        </row>
        <row r="15">
          <cell r="L15">
            <v>26903.99</v>
          </cell>
        </row>
        <row r="19">
          <cell r="L19">
            <v>348745</v>
          </cell>
        </row>
        <row r="24">
          <cell r="L24">
            <v>964683.59</v>
          </cell>
        </row>
        <row r="25">
          <cell r="L25">
            <v>22716</v>
          </cell>
        </row>
        <row r="26">
          <cell r="L26">
            <v>7905</v>
          </cell>
        </row>
        <row r="27">
          <cell r="L27">
            <v>1534.53</v>
          </cell>
        </row>
        <row r="32">
          <cell r="L32">
            <v>88479.24</v>
          </cell>
        </row>
        <row r="33">
          <cell r="L33">
            <v>348965.38</v>
          </cell>
        </row>
        <row r="34">
          <cell r="L34">
            <v>80035</v>
          </cell>
        </row>
        <row r="35">
          <cell r="L35">
            <v>40000</v>
          </cell>
        </row>
        <row r="41">
          <cell r="L41">
            <v>8072.18</v>
          </cell>
        </row>
        <row r="42">
          <cell r="L42">
            <v>15220</v>
          </cell>
        </row>
        <row r="43">
          <cell r="L43">
            <v>273</v>
          </cell>
        </row>
        <row r="44">
          <cell r="L44">
            <v>0</v>
          </cell>
        </row>
        <row r="45">
          <cell r="L45">
            <v>13984</v>
          </cell>
        </row>
        <row r="46">
          <cell r="L46">
            <v>13988.48</v>
          </cell>
        </row>
        <row r="47">
          <cell r="L47">
            <v>7200</v>
          </cell>
        </row>
        <row r="51">
          <cell r="L51">
            <v>3170</v>
          </cell>
        </row>
        <row r="52">
          <cell r="L52">
            <v>3348</v>
          </cell>
        </row>
        <row r="58">
          <cell r="L58">
            <v>279223</v>
          </cell>
        </row>
        <row r="59">
          <cell r="L59">
            <v>65870.289999999994</v>
          </cell>
        </row>
        <row r="65">
          <cell r="L65">
            <v>2473796.89</v>
          </cell>
        </row>
        <row r="66">
          <cell r="L66">
            <v>790378.95</v>
          </cell>
        </row>
        <row r="67">
          <cell r="L67">
            <v>4105891</v>
          </cell>
        </row>
        <row r="68">
          <cell r="L68">
            <v>988713</v>
          </cell>
        </row>
        <row r="69">
          <cell r="L69">
            <v>206403.1</v>
          </cell>
        </row>
        <row r="70">
          <cell r="L70">
            <v>474903.08</v>
          </cell>
        </row>
        <row r="71">
          <cell r="L71">
            <v>1358004.52</v>
          </cell>
        </row>
        <row r="72">
          <cell r="L72">
            <v>176829.51</v>
          </cell>
        </row>
        <row r="73">
          <cell r="L73">
            <v>101753.79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pense"/>
      <sheetName val="Revenue"/>
    </sheetNames>
    <sheetDataSet>
      <sheetData sheetId="0">
        <row r="4">
          <cell r="K4">
            <v>2580</v>
          </cell>
        </row>
        <row r="5">
          <cell r="K5">
            <v>5718.75</v>
          </cell>
        </row>
        <row r="6">
          <cell r="K6">
            <v>811.75</v>
          </cell>
        </row>
        <row r="7">
          <cell r="K7">
            <v>1303.04</v>
          </cell>
        </row>
        <row r="11">
          <cell r="K11">
            <v>511400.41</v>
          </cell>
        </row>
        <row r="12">
          <cell r="K12">
            <v>67985.05</v>
          </cell>
        </row>
        <row r="13">
          <cell r="K13">
            <v>89164</v>
          </cell>
        </row>
        <row r="14">
          <cell r="K14">
            <v>519.39</v>
          </cell>
        </row>
        <row r="15">
          <cell r="K15">
            <v>5047.41</v>
          </cell>
        </row>
        <row r="16">
          <cell r="K16">
            <v>560</v>
          </cell>
        </row>
        <row r="17">
          <cell r="K17">
            <v>120923.02</v>
          </cell>
        </row>
        <row r="18">
          <cell r="K18">
            <v>50352.42</v>
          </cell>
        </row>
        <row r="19">
          <cell r="K19">
            <v>83715.23</v>
          </cell>
        </row>
        <row r="20">
          <cell r="K20">
            <v>357.74</v>
          </cell>
        </row>
        <row r="21">
          <cell r="K21">
            <v>1774</v>
          </cell>
        </row>
        <row r="22">
          <cell r="K22">
            <v>5139.6499999999996</v>
          </cell>
        </row>
        <row r="23">
          <cell r="K23">
            <v>907.96</v>
          </cell>
        </row>
        <row r="24">
          <cell r="K24">
            <v>768</v>
          </cell>
        </row>
        <row r="25">
          <cell r="K25">
            <v>11887.8</v>
          </cell>
        </row>
        <row r="26">
          <cell r="K26">
            <v>16873.63</v>
          </cell>
        </row>
        <row r="27">
          <cell r="K27">
            <v>20079.54</v>
          </cell>
        </row>
        <row r="28">
          <cell r="K28">
            <v>165</v>
          </cell>
        </row>
        <row r="29">
          <cell r="K29">
            <v>3247.79</v>
          </cell>
        </row>
        <row r="30">
          <cell r="K30">
            <v>5170.04</v>
          </cell>
        </row>
        <row r="31">
          <cell r="K31">
            <v>0</v>
          </cell>
        </row>
        <row r="32">
          <cell r="K32">
            <v>1800</v>
          </cell>
        </row>
        <row r="33">
          <cell r="K33">
            <v>199</v>
          </cell>
        </row>
        <row r="34">
          <cell r="K34">
            <v>1072.1500000000001</v>
          </cell>
        </row>
        <row r="35">
          <cell r="K35">
            <v>2852.93</v>
          </cell>
        </row>
        <row r="36">
          <cell r="K36">
            <v>1161.4100000000001</v>
          </cell>
        </row>
        <row r="37">
          <cell r="K37">
            <v>1415.44</v>
          </cell>
        </row>
        <row r="38">
          <cell r="K38">
            <v>2980.83</v>
          </cell>
        </row>
        <row r="42">
          <cell r="K42">
            <v>202590.61</v>
          </cell>
        </row>
        <row r="43">
          <cell r="K43">
            <v>29712</v>
          </cell>
        </row>
        <row r="44">
          <cell r="K44">
            <v>1559.4</v>
          </cell>
        </row>
        <row r="45">
          <cell r="K45">
            <v>5638.08</v>
          </cell>
        </row>
        <row r="46">
          <cell r="K46">
            <v>380</v>
          </cell>
        </row>
        <row r="47">
          <cell r="K47">
            <v>31877</v>
          </cell>
        </row>
        <row r="48">
          <cell r="K48">
            <v>17543.47</v>
          </cell>
        </row>
        <row r="49">
          <cell r="K49">
            <v>28843.66</v>
          </cell>
        </row>
        <row r="50">
          <cell r="K50">
            <v>59.62</v>
          </cell>
        </row>
        <row r="51">
          <cell r="K51">
            <v>584</v>
          </cell>
        </row>
        <row r="52">
          <cell r="K52">
            <v>806.07</v>
          </cell>
        </row>
        <row r="53">
          <cell r="K53">
            <v>16500</v>
          </cell>
        </row>
        <row r="54">
          <cell r="K54">
            <v>10076</v>
          </cell>
        </row>
        <row r="55">
          <cell r="K55">
            <v>2211.9899999999998</v>
          </cell>
        </row>
        <row r="56">
          <cell r="K56">
            <v>3294.12</v>
          </cell>
        </row>
        <row r="57">
          <cell r="K57">
            <v>29951.15</v>
          </cell>
        </row>
        <row r="58">
          <cell r="K58">
            <v>0</v>
          </cell>
        </row>
        <row r="59">
          <cell r="K59">
            <v>6789</v>
          </cell>
        </row>
        <row r="60">
          <cell r="K60">
            <v>440</v>
          </cell>
        </row>
        <row r="61">
          <cell r="K61">
            <v>2000</v>
          </cell>
        </row>
        <row r="62">
          <cell r="K62">
            <v>2738.19</v>
          </cell>
        </row>
        <row r="63">
          <cell r="K63">
            <v>377.2</v>
          </cell>
        </row>
        <row r="64">
          <cell r="K64">
            <v>650.42999999999995</v>
          </cell>
        </row>
        <row r="65">
          <cell r="K65">
            <v>1019.02</v>
          </cell>
        </row>
        <row r="69">
          <cell r="K69">
            <v>78430.679999999993</v>
          </cell>
        </row>
        <row r="70">
          <cell r="K70">
            <v>61916.72</v>
          </cell>
        </row>
        <row r="71">
          <cell r="K71">
            <v>1702</v>
          </cell>
        </row>
        <row r="72">
          <cell r="K72">
            <v>16728.349999999999</v>
          </cell>
        </row>
        <row r="73">
          <cell r="K73">
            <v>337.97</v>
          </cell>
        </row>
        <row r="74">
          <cell r="K74">
            <v>13469.32</v>
          </cell>
        </row>
        <row r="78">
          <cell r="K78">
            <v>191385.47</v>
          </cell>
        </row>
        <row r="79">
          <cell r="K79">
            <v>0</v>
          </cell>
        </row>
        <row r="80">
          <cell r="K80">
            <v>3960.96</v>
          </cell>
        </row>
        <row r="81">
          <cell r="K81">
            <v>49.31</v>
          </cell>
        </row>
        <row r="83">
          <cell r="K83">
            <v>280</v>
          </cell>
        </row>
        <row r="84">
          <cell r="K84">
            <v>46280.35</v>
          </cell>
        </row>
        <row r="85">
          <cell r="K85">
            <v>14534.75</v>
          </cell>
        </row>
        <row r="86">
          <cell r="K86">
            <v>26567.68</v>
          </cell>
        </row>
        <row r="87">
          <cell r="K87">
            <v>89.43</v>
          </cell>
        </row>
        <row r="88">
          <cell r="K88">
            <v>459</v>
          </cell>
        </row>
        <row r="89">
          <cell r="K89">
            <v>456.01</v>
          </cell>
        </row>
        <row r="90">
          <cell r="K90">
            <v>249</v>
          </cell>
        </row>
        <row r="91">
          <cell r="K91">
            <v>1177.7</v>
          </cell>
        </row>
        <row r="92">
          <cell r="K92">
            <v>3652.35</v>
          </cell>
        </row>
        <row r="93">
          <cell r="K93">
            <v>1033.82</v>
          </cell>
        </row>
        <row r="96">
          <cell r="K96"/>
        </row>
        <row r="97">
          <cell r="K97">
            <v>91519.87</v>
          </cell>
        </row>
        <row r="98">
          <cell r="K98">
            <v>8282.18</v>
          </cell>
        </row>
        <row r="99">
          <cell r="K99">
            <v>68415</v>
          </cell>
        </row>
        <row r="100">
          <cell r="K100">
            <v>7935.82</v>
          </cell>
        </row>
        <row r="101">
          <cell r="K101">
            <v>280</v>
          </cell>
        </row>
        <row r="102">
          <cell r="K102">
            <v>49088.160000000003</v>
          </cell>
        </row>
        <row r="103">
          <cell r="K103">
            <v>12972.36</v>
          </cell>
        </row>
        <row r="104">
          <cell r="K104">
            <v>22544.69</v>
          </cell>
        </row>
        <row r="105">
          <cell r="K105">
            <v>29.81</v>
          </cell>
        </row>
        <row r="106">
          <cell r="K106">
            <v>407</v>
          </cell>
        </row>
        <row r="107">
          <cell r="K107">
            <v>1396.36</v>
          </cell>
        </row>
        <row r="108">
          <cell r="K108">
            <v>60435</v>
          </cell>
        </row>
        <row r="109">
          <cell r="K109">
            <v>966.12</v>
          </cell>
        </row>
        <row r="110">
          <cell r="K110">
            <v>21990</v>
          </cell>
        </row>
        <row r="111">
          <cell r="K111">
            <v>5037.8</v>
          </cell>
        </row>
        <row r="112">
          <cell r="K112">
            <v>1276.79</v>
          </cell>
        </row>
        <row r="113">
          <cell r="K113">
            <v>28599</v>
          </cell>
        </row>
        <row r="114">
          <cell r="K114">
            <v>5057.74</v>
          </cell>
        </row>
        <row r="115">
          <cell r="K115">
            <v>103.25</v>
          </cell>
        </row>
        <row r="116">
          <cell r="K116">
            <v>310</v>
          </cell>
        </row>
        <row r="117">
          <cell r="K117">
            <v>1787.77</v>
          </cell>
        </row>
        <row r="118">
          <cell r="K118">
            <v>110.22</v>
          </cell>
        </row>
        <row r="119">
          <cell r="K119">
            <v>357.54</v>
          </cell>
        </row>
        <row r="120">
          <cell r="K120">
            <v>1163.6199999999999</v>
          </cell>
        </row>
        <row r="121">
          <cell r="K121">
            <v>3625</v>
          </cell>
        </row>
        <row r="125">
          <cell r="K125">
            <v>202451.7</v>
          </cell>
        </row>
        <row r="126">
          <cell r="K126">
            <v>172.5</v>
          </cell>
        </row>
        <row r="127">
          <cell r="K127">
            <v>1797.73</v>
          </cell>
        </row>
        <row r="128">
          <cell r="K128">
            <v>1354.5</v>
          </cell>
        </row>
        <row r="129">
          <cell r="K129">
            <v>560</v>
          </cell>
        </row>
        <row r="130">
          <cell r="K130">
            <v>53888</v>
          </cell>
        </row>
        <row r="131">
          <cell r="K131">
            <v>15259.85</v>
          </cell>
        </row>
        <row r="132">
          <cell r="K132">
            <v>28645.47</v>
          </cell>
        </row>
        <row r="133">
          <cell r="K133">
            <v>119.25</v>
          </cell>
        </row>
        <row r="134">
          <cell r="K134">
            <v>8290</v>
          </cell>
        </row>
        <row r="135">
          <cell r="K135">
            <v>10144</v>
          </cell>
        </row>
        <row r="136">
          <cell r="K136">
            <v>2715.07</v>
          </cell>
        </row>
        <row r="137">
          <cell r="K137">
            <v>6988.78</v>
          </cell>
        </row>
        <row r="138">
          <cell r="K138">
            <v>26754.18</v>
          </cell>
        </row>
        <row r="139">
          <cell r="K139">
            <v>5996.45</v>
          </cell>
        </row>
        <row r="140">
          <cell r="K140">
            <v>117255.88</v>
          </cell>
        </row>
        <row r="141">
          <cell r="K141">
            <v>71723.820000000007</v>
          </cell>
        </row>
        <row r="142">
          <cell r="K142">
            <v>31855.65</v>
          </cell>
        </row>
        <row r="143">
          <cell r="K143">
            <v>27563.41</v>
          </cell>
        </row>
        <row r="144">
          <cell r="K144">
            <v>16421.23</v>
          </cell>
        </row>
        <row r="145">
          <cell r="K145">
            <v>4024.89</v>
          </cell>
        </row>
        <row r="146">
          <cell r="K146">
            <v>7821.32</v>
          </cell>
        </row>
        <row r="147">
          <cell r="K147">
            <v>0</v>
          </cell>
        </row>
        <row r="148">
          <cell r="K148">
            <v>54.38</v>
          </cell>
        </row>
        <row r="149">
          <cell r="K149">
            <v>3183.61</v>
          </cell>
        </row>
        <row r="150">
          <cell r="K150">
            <v>2229.83</v>
          </cell>
        </row>
        <row r="151">
          <cell r="K151">
            <v>22164</v>
          </cell>
        </row>
        <row r="152">
          <cell r="K152">
            <v>500</v>
          </cell>
        </row>
        <row r="160">
          <cell r="K160">
            <v>597920.17000000004</v>
          </cell>
        </row>
        <row r="161">
          <cell r="K161">
            <v>344321.6</v>
          </cell>
        </row>
        <row r="162">
          <cell r="K162">
            <v>63618.81</v>
          </cell>
        </row>
        <row r="163">
          <cell r="K163">
            <v>13960.96</v>
          </cell>
        </row>
        <row r="164">
          <cell r="K164">
            <v>269324.42</v>
          </cell>
        </row>
        <row r="165">
          <cell r="K165">
            <v>74304</v>
          </cell>
        </row>
        <row r="166">
          <cell r="K166">
            <v>35400</v>
          </cell>
        </row>
        <row r="167">
          <cell r="K167">
            <v>19032.45</v>
          </cell>
        </row>
        <row r="168">
          <cell r="K168">
            <v>524.52</v>
          </cell>
        </row>
        <row r="169">
          <cell r="K169">
            <v>54116.57</v>
          </cell>
        </row>
        <row r="170">
          <cell r="K170">
            <v>18557.599999999999</v>
          </cell>
        </row>
        <row r="171">
          <cell r="K171">
            <v>4251.6000000000004</v>
          </cell>
        </row>
        <row r="172">
          <cell r="K172">
            <v>2560</v>
          </cell>
        </row>
        <row r="173">
          <cell r="K173">
            <v>223631.17</v>
          </cell>
        </row>
        <row r="174">
          <cell r="K174">
            <v>76860.55</v>
          </cell>
        </row>
        <row r="175">
          <cell r="K175">
            <v>243499.11</v>
          </cell>
        </row>
        <row r="176">
          <cell r="K176">
            <v>1669.45</v>
          </cell>
        </row>
        <row r="177">
          <cell r="K177">
            <v>24067</v>
          </cell>
        </row>
        <row r="178">
          <cell r="K178">
            <v>18458.82</v>
          </cell>
        </row>
        <row r="179">
          <cell r="K179">
            <v>600.24</v>
          </cell>
        </row>
        <row r="180">
          <cell r="K180">
            <v>27310.720000000001</v>
          </cell>
        </row>
        <row r="181">
          <cell r="K181">
            <v>27487.360000000001</v>
          </cell>
        </row>
        <row r="182">
          <cell r="K182">
            <v>22428.14</v>
          </cell>
        </row>
        <row r="183">
          <cell r="K183">
            <v>7005.23</v>
          </cell>
        </row>
        <row r="184">
          <cell r="K184">
            <v>3354.93</v>
          </cell>
        </row>
        <row r="185">
          <cell r="K185">
            <v>24985.5</v>
          </cell>
        </row>
        <row r="186">
          <cell r="K186">
            <v>204</v>
          </cell>
        </row>
        <row r="188">
          <cell r="K188">
            <v>468.49</v>
          </cell>
        </row>
        <row r="189">
          <cell r="K189">
            <v>1465</v>
          </cell>
        </row>
        <row r="190">
          <cell r="K190">
            <v>423.63</v>
          </cell>
        </row>
        <row r="191">
          <cell r="K191">
            <v>255</v>
          </cell>
        </row>
        <row r="192">
          <cell r="K192">
            <v>5258.77</v>
          </cell>
        </row>
        <row r="193">
          <cell r="K193">
            <v>4694.8599999999997</v>
          </cell>
        </row>
        <row r="194">
          <cell r="K194">
            <v>6627.03</v>
          </cell>
        </row>
        <row r="195">
          <cell r="K195">
            <v>345.09</v>
          </cell>
        </row>
        <row r="196">
          <cell r="K196">
            <v>6525.06</v>
          </cell>
        </row>
        <row r="197">
          <cell r="K197">
            <v>6227.22</v>
          </cell>
        </row>
        <row r="198">
          <cell r="K198">
            <v>2530.13</v>
          </cell>
        </row>
        <row r="200">
          <cell r="K200">
            <v>2709.83</v>
          </cell>
        </row>
        <row r="201">
          <cell r="K201">
            <v>23454.31</v>
          </cell>
        </row>
        <row r="202">
          <cell r="K202">
            <v>13533.73</v>
          </cell>
        </row>
        <row r="203">
          <cell r="K203">
            <v>94.5</v>
          </cell>
        </row>
        <row r="204">
          <cell r="K204">
            <v>14282.9</v>
          </cell>
        </row>
        <row r="205">
          <cell r="K205">
            <v>62956.480000000003</v>
          </cell>
        </row>
        <row r="209">
          <cell r="K209">
            <v>1796012.59</v>
          </cell>
        </row>
        <row r="210">
          <cell r="K210">
            <v>180953.60000000001</v>
          </cell>
        </row>
        <row r="211">
          <cell r="K211">
            <v>102928.66</v>
          </cell>
        </row>
        <row r="212">
          <cell r="K212">
            <v>28791.13</v>
          </cell>
        </row>
        <row r="213">
          <cell r="K213">
            <v>1059.93</v>
          </cell>
        </row>
        <row r="214">
          <cell r="K214">
            <v>5010</v>
          </cell>
        </row>
        <row r="215">
          <cell r="K215">
            <v>565752.18000000005</v>
          </cell>
        </row>
        <row r="216">
          <cell r="K216">
            <v>45785.94</v>
          </cell>
        </row>
        <row r="217">
          <cell r="K217">
            <v>621119.25</v>
          </cell>
        </row>
        <row r="218">
          <cell r="K218">
            <v>1609.83</v>
          </cell>
        </row>
        <row r="219">
          <cell r="K219">
            <v>56606</v>
          </cell>
        </row>
        <row r="220">
          <cell r="K220">
            <v>385.24</v>
          </cell>
        </row>
        <row r="221">
          <cell r="K221">
            <v>107250</v>
          </cell>
        </row>
        <row r="222">
          <cell r="K222">
            <v>0</v>
          </cell>
        </row>
        <row r="223">
          <cell r="K223">
            <v>3900</v>
          </cell>
        </row>
        <row r="224">
          <cell r="K224">
            <v>1362</v>
          </cell>
        </row>
        <row r="225">
          <cell r="K225">
            <v>3251.74</v>
          </cell>
        </row>
        <row r="226">
          <cell r="K226">
            <v>3001.08</v>
          </cell>
        </row>
        <row r="227">
          <cell r="K227">
            <v>588</v>
          </cell>
        </row>
        <row r="228">
          <cell r="K228">
            <v>770776.83</v>
          </cell>
        </row>
        <row r="229">
          <cell r="K229">
            <v>15373.73</v>
          </cell>
        </row>
        <row r="230">
          <cell r="K230">
            <v>0</v>
          </cell>
        </row>
        <row r="231">
          <cell r="K231">
            <v>2313.0500000000002</v>
          </cell>
        </row>
        <row r="232">
          <cell r="K232">
            <v>172866.8</v>
          </cell>
        </row>
        <row r="233">
          <cell r="K233">
            <v>2043.07</v>
          </cell>
        </row>
        <row r="234">
          <cell r="K234">
            <v>15450</v>
          </cell>
        </row>
        <row r="235">
          <cell r="K235">
            <v>3933.89</v>
          </cell>
        </row>
        <row r="236">
          <cell r="K236">
            <v>12252.44</v>
          </cell>
        </row>
        <row r="237">
          <cell r="K237">
            <v>975</v>
          </cell>
        </row>
        <row r="238">
          <cell r="K238">
            <v>3679</v>
          </cell>
        </row>
        <row r="239">
          <cell r="K239">
            <v>1123.3499999999999</v>
          </cell>
        </row>
        <row r="240">
          <cell r="K240">
            <v>486.15</v>
          </cell>
        </row>
        <row r="241">
          <cell r="K241">
            <v>8632.36</v>
          </cell>
        </row>
        <row r="242">
          <cell r="K242">
            <v>6334.28</v>
          </cell>
        </row>
        <row r="243">
          <cell r="K243">
            <v>7832.77</v>
          </cell>
        </row>
        <row r="244">
          <cell r="K244">
            <v>2162.3000000000002</v>
          </cell>
        </row>
        <row r="245">
          <cell r="K245">
            <v>434.66</v>
          </cell>
        </row>
        <row r="246">
          <cell r="K246">
            <v>1033.18</v>
          </cell>
        </row>
        <row r="247">
          <cell r="K247">
            <v>288</v>
          </cell>
        </row>
        <row r="248">
          <cell r="K248">
            <v>2595.86</v>
          </cell>
        </row>
        <row r="249">
          <cell r="K249">
            <v>13788.72</v>
          </cell>
        </row>
        <row r="250">
          <cell r="K250">
            <v>0</v>
          </cell>
        </row>
        <row r="251">
          <cell r="K251">
            <v>1588.56</v>
          </cell>
        </row>
        <row r="252">
          <cell r="K252">
            <v>1817.45</v>
          </cell>
        </row>
        <row r="253">
          <cell r="K253">
            <v>11528.63</v>
          </cell>
        </row>
        <row r="256">
          <cell r="K256"/>
        </row>
        <row r="257">
          <cell r="K257">
            <v>122453.21</v>
          </cell>
        </row>
        <row r="259">
          <cell r="K259">
            <v>9367.6</v>
          </cell>
        </row>
        <row r="260">
          <cell r="K260">
            <v>89.43</v>
          </cell>
        </row>
        <row r="261">
          <cell r="K261">
            <v>263</v>
          </cell>
        </row>
        <row r="262">
          <cell r="K262">
            <v>1565.56</v>
          </cell>
        </row>
        <row r="263">
          <cell r="K263">
            <v>1444.99</v>
          </cell>
        </row>
        <row r="264">
          <cell r="K264">
            <v>3572.08</v>
          </cell>
        </row>
        <row r="265">
          <cell r="K265">
            <v>597.74</v>
          </cell>
        </row>
        <row r="266">
          <cell r="K266">
            <v>160</v>
          </cell>
        </row>
        <row r="267">
          <cell r="K267">
            <v>545.79</v>
          </cell>
        </row>
        <row r="268">
          <cell r="K268">
            <v>24.94</v>
          </cell>
        </row>
        <row r="269">
          <cell r="K269">
            <v>170.79</v>
          </cell>
        </row>
        <row r="270">
          <cell r="K270">
            <v>92.5</v>
          </cell>
        </row>
        <row r="274">
          <cell r="K274">
            <v>7509312</v>
          </cell>
        </row>
        <row r="277">
          <cell r="K277">
            <v>159097</v>
          </cell>
        </row>
        <row r="278">
          <cell r="K278">
            <v>50000</v>
          </cell>
        </row>
        <row r="279">
          <cell r="K279">
            <v>56000</v>
          </cell>
        </row>
        <row r="283">
          <cell r="K283">
            <v>6900</v>
          </cell>
        </row>
        <row r="284">
          <cell r="K284">
            <v>185835</v>
          </cell>
        </row>
        <row r="285">
          <cell r="K285">
            <v>283564.63</v>
          </cell>
        </row>
        <row r="289">
          <cell r="K289">
            <v>211105</v>
          </cell>
        </row>
        <row r="297">
          <cell r="K297">
            <v>4600</v>
          </cell>
        </row>
        <row r="298">
          <cell r="K298">
            <v>9165</v>
          </cell>
        </row>
        <row r="299">
          <cell r="K299">
            <v>21797.870000000003</v>
          </cell>
        </row>
        <row r="303">
          <cell r="K303">
            <v>540180.68000000005</v>
          </cell>
        </row>
        <row r="304">
          <cell r="K304">
            <v>45434.51</v>
          </cell>
        </row>
        <row r="305">
          <cell r="K305">
            <v>1595.78</v>
          </cell>
        </row>
        <row r="306">
          <cell r="K306">
            <v>2067.4499999999998</v>
          </cell>
        </row>
        <row r="307">
          <cell r="K307">
            <v>1720</v>
          </cell>
        </row>
        <row r="308">
          <cell r="K308">
            <v>110788.04</v>
          </cell>
        </row>
        <row r="309">
          <cell r="K309">
            <v>43487.24</v>
          </cell>
        </row>
        <row r="310">
          <cell r="K310">
            <v>76352.37</v>
          </cell>
        </row>
        <row r="311">
          <cell r="K311">
            <v>357.74</v>
          </cell>
        </row>
        <row r="312">
          <cell r="K312">
            <v>1347</v>
          </cell>
        </row>
        <row r="313">
          <cell r="K313">
            <v>480714</v>
          </cell>
        </row>
        <row r="314">
          <cell r="K314">
            <v>19800</v>
          </cell>
        </row>
        <row r="316">
          <cell r="K316">
            <v>5312.27</v>
          </cell>
        </row>
        <row r="317">
          <cell r="K317">
            <v>4687.13</v>
          </cell>
        </row>
        <row r="318">
          <cell r="K318">
            <v>52287.12</v>
          </cell>
        </row>
        <row r="319">
          <cell r="K319">
            <v>101029.43</v>
          </cell>
        </row>
        <row r="320">
          <cell r="K320">
            <v>1702</v>
          </cell>
        </row>
        <row r="321">
          <cell r="K321">
            <v>11163.58</v>
          </cell>
        </row>
        <row r="322">
          <cell r="K322">
            <v>6237</v>
          </cell>
        </row>
        <row r="323">
          <cell r="K323">
            <v>1266.26</v>
          </cell>
        </row>
        <row r="324">
          <cell r="K324">
            <v>5835.26</v>
          </cell>
        </row>
        <row r="325">
          <cell r="K325">
            <v>22275.83</v>
          </cell>
        </row>
        <row r="326">
          <cell r="K326">
            <v>7209.37</v>
          </cell>
        </row>
        <row r="327">
          <cell r="K327">
            <v>1871.5</v>
          </cell>
        </row>
        <row r="328">
          <cell r="K328">
            <v>8408.2900000000009</v>
          </cell>
        </row>
        <row r="329">
          <cell r="K329">
            <v>1883.28</v>
          </cell>
        </row>
        <row r="330">
          <cell r="K330">
            <v>9355.4500000000007</v>
          </cell>
        </row>
        <row r="331">
          <cell r="K331">
            <v>1880.64</v>
          </cell>
        </row>
        <row r="332">
          <cell r="K332">
            <v>7220.31</v>
          </cell>
        </row>
        <row r="336">
          <cell r="K336">
            <v>57345.7</v>
          </cell>
        </row>
        <row r="337">
          <cell r="K337">
            <v>3323.35</v>
          </cell>
        </row>
        <row r="338">
          <cell r="K338">
            <v>1020.22</v>
          </cell>
        </row>
        <row r="339">
          <cell r="K339">
            <v>0</v>
          </cell>
        </row>
        <row r="340">
          <cell r="K340">
            <v>14595.85</v>
          </cell>
        </row>
        <row r="341">
          <cell r="K341">
            <v>4506.24</v>
          </cell>
        </row>
        <row r="342">
          <cell r="K342">
            <v>8530.07</v>
          </cell>
        </row>
        <row r="343">
          <cell r="K343">
            <v>59.62</v>
          </cell>
        </row>
        <row r="344">
          <cell r="K344">
            <v>3254</v>
          </cell>
        </row>
        <row r="345">
          <cell r="K345">
            <v>7218.28</v>
          </cell>
        </row>
        <row r="346">
          <cell r="K346">
            <v>64558.84</v>
          </cell>
        </row>
        <row r="347">
          <cell r="K347">
            <v>153707.04</v>
          </cell>
        </row>
        <row r="348">
          <cell r="K348">
            <v>107564.91</v>
          </cell>
        </row>
        <row r="349">
          <cell r="K349">
            <v>27042.43</v>
          </cell>
        </row>
        <row r="350">
          <cell r="K350">
            <v>60847.81</v>
          </cell>
        </row>
        <row r="351">
          <cell r="K351">
            <v>546.95000000000005</v>
          </cell>
        </row>
        <row r="352">
          <cell r="K352">
            <v>21658.22</v>
          </cell>
        </row>
        <row r="353">
          <cell r="K353">
            <v>114.98</v>
          </cell>
        </row>
        <row r="354">
          <cell r="K354">
            <v>6079.41</v>
          </cell>
        </row>
        <row r="355">
          <cell r="K355">
            <v>3196.34</v>
          </cell>
        </row>
        <row r="356">
          <cell r="K356">
            <v>0</v>
          </cell>
        </row>
        <row r="357">
          <cell r="K357">
            <v>2268.16</v>
          </cell>
        </row>
        <row r="358">
          <cell r="K358">
            <v>0</v>
          </cell>
        </row>
        <row r="362">
          <cell r="K362">
            <v>119124.94</v>
          </cell>
        </row>
        <row r="363">
          <cell r="K363">
            <v>1410.26</v>
          </cell>
        </row>
        <row r="364">
          <cell r="K364">
            <v>6098.1</v>
          </cell>
        </row>
        <row r="365">
          <cell r="K365">
            <v>506.64</v>
          </cell>
        </row>
        <row r="366">
          <cell r="K366">
            <v>650</v>
          </cell>
        </row>
        <row r="367">
          <cell r="K367">
            <v>35058.71</v>
          </cell>
        </row>
        <row r="368">
          <cell r="K368">
            <v>9490.51</v>
          </cell>
        </row>
        <row r="369">
          <cell r="K369">
            <v>17184.240000000002</v>
          </cell>
        </row>
        <row r="370">
          <cell r="K370">
            <v>89.43</v>
          </cell>
        </row>
        <row r="371">
          <cell r="K371">
            <v>3654</v>
          </cell>
        </row>
        <row r="372">
          <cell r="K372">
            <v>1594.12</v>
          </cell>
        </row>
        <row r="373">
          <cell r="K373">
            <v>600</v>
          </cell>
        </row>
        <row r="374">
          <cell r="K374">
            <v>0</v>
          </cell>
        </row>
        <row r="378">
          <cell r="K378">
            <v>1240241.8</v>
          </cell>
        </row>
        <row r="379">
          <cell r="K379">
            <v>5400.13</v>
          </cell>
        </row>
        <row r="380">
          <cell r="K380">
            <v>4722.2299999999996</v>
          </cell>
        </row>
        <row r="381">
          <cell r="K381">
            <v>51962.22</v>
          </cell>
        </row>
        <row r="385">
          <cell r="K385">
            <v>2547576.73</v>
          </cell>
        </row>
        <row r="386">
          <cell r="K386">
            <v>87600</v>
          </cell>
        </row>
        <row r="387">
          <cell r="K387">
            <v>261412.01</v>
          </cell>
        </row>
        <row r="388">
          <cell r="K388">
            <v>263296.65000000002</v>
          </cell>
        </row>
        <row r="389">
          <cell r="K389">
            <v>21568.49</v>
          </cell>
        </row>
        <row r="390">
          <cell r="K390">
            <v>3673.2</v>
          </cell>
        </row>
        <row r="391">
          <cell r="K391">
            <v>5770</v>
          </cell>
        </row>
        <row r="392">
          <cell r="K392">
            <v>142709.79</v>
          </cell>
        </row>
        <row r="393">
          <cell r="K393">
            <v>847277.12</v>
          </cell>
        </row>
        <row r="394">
          <cell r="K394">
            <v>242729.54</v>
          </cell>
        </row>
        <row r="395">
          <cell r="K395">
            <v>394042.37</v>
          </cell>
        </row>
        <row r="396">
          <cell r="K396">
            <v>3429.34</v>
          </cell>
        </row>
        <row r="397">
          <cell r="K397">
            <v>86731</v>
          </cell>
        </row>
        <row r="398">
          <cell r="K398">
            <v>11305.98</v>
          </cell>
        </row>
        <row r="399">
          <cell r="K399">
            <v>1458.5</v>
          </cell>
        </row>
        <row r="400">
          <cell r="K400">
            <v>725302.98</v>
          </cell>
        </row>
        <row r="401">
          <cell r="K401">
            <v>120754.87</v>
          </cell>
        </row>
        <row r="402">
          <cell r="K402">
            <v>26084.09</v>
          </cell>
        </row>
        <row r="403">
          <cell r="K403">
            <v>4109.6000000000004</v>
          </cell>
        </row>
        <row r="404">
          <cell r="K404">
            <v>-197.45</v>
          </cell>
        </row>
        <row r="405">
          <cell r="K405">
            <v>199.99</v>
          </cell>
        </row>
        <row r="409">
          <cell r="K409">
            <v>104733.44</v>
          </cell>
        </row>
        <row r="410">
          <cell r="K410">
            <v>243.5</v>
          </cell>
        </row>
        <row r="411">
          <cell r="K411">
            <v>12000</v>
          </cell>
        </row>
        <row r="412">
          <cell r="K412">
            <v>11553.58</v>
          </cell>
        </row>
        <row r="413">
          <cell r="K413">
            <v>8730.19</v>
          </cell>
        </row>
        <row r="414">
          <cell r="K414">
            <v>14784.3</v>
          </cell>
        </row>
        <row r="415">
          <cell r="K415">
            <v>89.43</v>
          </cell>
        </row>
        <row r="416">
          <cell r="K416">
            <v>2492</v>
          </cell>
        </row>
        <row r="417">
          <cell r="K417">
            <v>5424.43</v>
          </cell>
        </row>
        <row r="418">
          <cell r="K418">
            <v>7695</v>
          </cell>
        </row>
        <row r="419">
          <cell r="K419">
            <v>582.79999999999995</v>
          </cell>
        </row>
        <row r="420">
          <cell r="K420">
            <v>-2313.0500000000002</v>
          </cell>
        </row>
        <row r="425">
          <cell r="K425">
            <v>219094.07</v>
          </cell>
        </row>
        <row r="426">
          <cell r="K426">
            <v>14281.41</v>
          </cell>
        </row>
        <row r="427">
          <cell r="K427">
            <v>8492.4599999999991</v>
          </cell>
        </row>
        <row r="428">
          <cell r="K428">
            <v>4124.84</v>
          </cell>
        </row>
        <row r="429">
          <cell r="K429">
            <v>930</v>
          </cell>
        </row>
        <row r="430">
          <cell r="K430">
            <v>83793.240000000005</v>
          </cell>
        </row>
        <row r="431">
          <cell r="K431">
            <v>17957.13</v>
          </cell>
        </row>
        <row r="432">
          <cell r="K432">
            <v>32135.24</v>
          </cell>
        </row>
        <row r="433">
          <cell r="K433">
            <v>268.3</v>
          </cell>
        </row>
        <row r="434">
          <cell r="K434">
            <v>10289</v>
          </cell>
        </row>
        <row r="435">
          <cell r="K435">
            <v>12763.34</v>
          </cell>
        </row>
        <row r="436">
          <cell r="K436">
            <v>400</v>
          </cell>
        </row>
        <row r="440">
          <cell r="K440">
            <v>18000</v>
          </cell>
        </row>
        <row r="441">
          <cell r="K441">
            <v>9117.9500000000007</v>
          </cell>
        </row>
        <row r="442">
          <cell r="K442">
            <v>8826</v>
          </cell>
        </row>
        <row r="443">
          <cell r="K443">
            <v>17400</v>
          </cell>
        </row>
        <row r="444">
          <cell r="K444">
            <v>116318.49</v>
          </cell>
        </row>
        <row r="445">
          <cell r="K445">
            <v>337371.89</v>
          </cell>
        </row>
        <row r="446">
          <cell r="K446">
            <v>0</v>
          </cell>
        </row>
        <row r="447">
          <cell r="K447">
            <v>0</v>
          </cell>
        </row>
        <row r="451">
          <cell r="K451">
            <v>228206.87</v>
          </cell>
        </row>
        <row r="452">
          <cell r="K452">
            <v>2402.17</v>
          </cell>
        </row>
        <row r="453">
          <cell r="K453">
            <v>4696.2</v>
          </cell>
        </row>
        <row r="454">
          <cell r="K454">
            <v>1280</v>
          </cell>
        </row>
        <row r="455">
          <cell r="K455">
            <v>90664.3</v>
          </cell>
        </row>
        <row r="456">
          <cell r="K456">
            <v>16405.599999999999</v>
          </cell>
        </row>
        <row r="457">
          <cell r="K457">
            <v>32638.68</v>
          </cell>
        </row>
        <row r="458">
          <cell r="K458">
            <v>298.12</v>
          </cell>
        </row>
        <row r="459">
          <cell r="K459">
            <v>4046</v>
          </cell>
        </row>
        <row r="460">
          <cell r="K460">
            <v>3980</v>
          </cell>
        </row>
        <row r="461">
          <cell r="K461">
            <v>4731.5</v>
          </cell>
        </row>
        <row r="465">
          <cell r="K465">
            <v>5443.83</v>
          </cell>
        </row>
        <row r="466">
          <cell r="K466">
            <v>416.45</v>
          </cell>
        </row>
        <row r="467">
          <cell r="K467">
            <v>88.46</v>
          </cell>
        </row>
        <row r="468">
          <cell r="K468">
            <v>273</v>
          </cell>
        </row>
        <row r="469">
          <cell r="K469">
            <v>287.56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penses"/>
      <sheetName val="Revenue"/>
    </sheetNames>
    <sheetDataSet>
      <sheetData sheetId="0"/>
      <sheetData sheetId="1">
        <row r="79">
          <cell r="I79">
            <v>10119633.279999999</v>
          </cell>
          <cell r="K79">
            <v>10417838.070000002</v>
          </cell>
          <cell r="L79">
            <v>12098267.800000001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Lori Sharp" id="{58D701A3-7072-4A1B-A893-DFA761B0CFB3}" userId="S::lsharp@belknapcounty.org::d6f33eb0-6e12-4cb8-8f88-516085c0ec22" providerId="AD"/>
  <person displayName="Debra A. Shackett" id="{AA828021-AC55-4357-A185-96DF9E80D333}" userId="S::dshackett@belknapcounty.org::218e9b30-4c2f-418f-985f-200468559ee3" providerId="AD"/>
</personList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331" dT="2023-02-16T17:27:57.60" personId="{AA828021-AC55-4357-A185-96DF9E80D333}" id="{33B84D16-735B-4378-8C52-CC3BCA939210}">
    <text>COULD BE $3737</text>
  </threadedComment>
  <threadedComment ref="L950" dT="2023-03-29T13:45:44.93" personId="{58D701A3-7072-4A1B-A893-DFA761B0CFB3}" id="{8F3326BA-C0B7-4C7A-B318-F960842FF7D3}">
    <text>Encumbered 2022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75A42-5DCF-4E8C-94FE-3EBE79A9BCA6}">
  <sheetPr>
    <pageSetUpPr fitToPage="1"/>
  </sheetPr>
  <dimension ref="A1:Q974"/>
  <sheetViews>
    <sheetView tabSelected="1" zoomScale="110" zoomScaleNormal="110" workbookViewId="0">
      <pane ySplit="4" topLeftCell="A930" activePane="bottomLeft" state="frozen"/>
      <selection pane="bottomLeft" activeCell="P969" sqref="P969"/>
    </sheetView>
  </sheetViews>
  <sheetFormatPr defaultColWidth="11.7109375" defaultRowHeight="15.75" x14ac:dyDescent="0.25"/>
  <cols>
    <col min="1" max="1" width="7.85546875" style="1" customWidth="1"/>
    <col min="2" max="2" width="7.7109375" style="1" customWidth="1"/>
    <col min="3" max="3" width="36.28515625" style="1" customWidth="1"/>
    <col min="4" max="4" width="6.28515625" style="1" customWidth="1"/>
    <col min="5" max="5" width="7.28515625" style="1" bestFit="1" customWidth="1"/>
    <col min="6" max="6" width="10.85546875" style="1" customWidth="1"/>
    <col min="7" max="7" width="15.7109375" style="1" bestFit="1" customWidth="1"/>
    <col min="8" max="8" width="13.42578125" style="19" bestFit="1" customWidth="1"/>
    <col min="9" max="9" width="13.42578125" style="5" hidden="1" customWidth="1"/>
    <col min="10" max="10" width="13.28515625" style="1" bestFit="1" customWidth="1"/>
    <col min="11" max="14" width="13.28515625" style="5" bestFit="1" customWidth="1"/>
    <col min="15" max="15" width="9.7109375" style="8" bestFit="1" customWidth="1"/>
    <col min="16" max="16" width="12.28515625" style="1" bestFit="1" customWidth="1"/>
    <col min="17" max="17" width="10.42578125" style="1" bestFit="1" customWidth="1"/>
    <col min="18" max="16384" width="11.7109375" style="1"/>
  </cols>
  <sheetData>
    <row r="1" spans="1:16" hidden="1" x14ac:dyDescent="0.25">
      <c r="A1" s="67" t="s">
        <v>224</v>
      </c>
      <c r="B1" s="67"/>
    </row>
    <row r="2" spans="1:16" hidden="1" x14ac:dyDescent="0.25">
      <c r="D2" s="68" t="s">
        <v>288</v>
      </c>
      <c r="E2" s="68"/>
      <c r="F2" s="68"/>
    </row>
    <row r="3" spans="1:16" x14ac:dyDescent="0.25">
      <c r="A3" s="24" t="s">
        <v>694</v>
      </c>
      <c r="B3" s="25" t="s">
        <v>700</v>
      </c>
      <c r="C3" s="64">
        <v>45336</v>
      </c>
      <c r="D3" s="12" t="s">
        <v>283</v>
      </c>
      <c r="E3" s="12" t="s">
        <v>285</v>
      </c>
      <c r="F3" s="12"/>
      <c r="G3" s="26" t="s">
        <v>0</v>
      </c>
      <c r="H3" s="27" t="s">
        <v>211</v>
      </c>
      <c r="I3" s="28" t="s">
        <v>211</v>
      </c>
      <c r="J3" s="16">
        <v>2023</v>
      </c>
      <c r="K3" s="29" t="s">
        <v>212</v>
      </c>
      <c r="L3" s="29">
        <v>2022</v>
      </c>
      <c r="M3" s="29">
        <v>2021</v>
      </c>
      <c r="N3" s="29">
        <v>2020</v>
      </c>
      <c r="O3" s="16" t="s">
        <v>1</v>
      </c>
      <c r="P3" s="1" t="s">
        <v>692</v>
      </c>
    </row>
    <row r="4" spans="1:16" x14ac:dyDescent="0.25">
      <c r="A4" s="30" t="s">
        <v>696</v>
      </c>
      <c r="B4" s="31" t="s">
        <v>701</v>
      </c>
      <c r="C4" s="8"/>
      <c r="D4" s="12" t="s">
        <v>284</v>
      </c>
      <c r="E4" s="12" t="s">
        <v>286</v>
      </c>
      <c r="F4" s="12" t="s">
        <v>287</v>
      </c>
      <c r="G4" s="26" t="s">
        <v>2</v>
      </c>
      <c r="H4" s="32" t="s">
        <v>3</v>
      </c>
      <c r="I4" s="33" t="s">
        <v>4</v>
      </c>
      <c r="J4" s="34" t="s">
        <v>698</v>
      </c>
      <c r="K4" s="35" t="s">
        <v>6</v>
      </c>
      <c r="L4" s="35" t="s">
        <v>5</v>
      </c>
      <c r="M4" s="35" t="s">
        <v>5</v>
      </c>
      <c r="N4" s="35" t="s">
        <v>5</v>
      </c>
      <c r="O4" s="34" t="s">
        <v>213</v>
      </c>
      <c r="P4" s="34" t="s">
        <v>213</v>
      </c>
    </row>
    <row r="5" spans="1:16" x14ac:dyDescent="0.25">
      <c r="A5" s="8"/>
      <c r="B5" s="8"/>
      <c r="C5" s="8"/>
      <c r="D5" s="8"/>
      <c r="E5" s="8"/>
      <c r="F5" s="8"/>
      <c r="G5" s="8"/>
      <c r="H5" s="36"/>
      <c r="I5" s="37"/>
      <c r="K5" s="37"/>
      <c r="L5" s="37"/>
      <c r="M5" s="37"/>
      <c r="N5" s="37"/>
    </row>
    <row r="6" spans="1:16" s="8" customFormat="1" x14ac:dyDescent="0.25">
      <c r="A6" s="8">
        <v>14110</v>
      </c>
      <c r="B6" s="8" t="s">
        <v>7</v>
      </c>
      <c r="H6" s="21"/>
      <c r="I6" s="9"/>
      <c r="K6" s="9"/>
      <c r="L6" s="9"/>
      <c r="M6" s="9"/>
      <c r="N6" s="9"/>
    </row>
    <row r="7" spans="1:16" x14ac:dyDescent="0.25">
      <c r="A7" s="1">
        <v>14110</v>
      </c>
      <c r="B7" s="1">
        <v>53000</v>
      </c>
      <c r="C7" s="1" t="s">
        <v>8</v>
      </c>
      <c r="G7" s="5">
        <v>3000</v>
      </c>
      <c r="H7" s="5">
        <v>3000</v>
      </c>
      <c r="I7" s="5">
        <v>3000</v>
      </c>
      <c r="J7" s="1">
        <f>[1]Expense!N4</f>
        <v>2940</v>
      </c>
      <c r="K7" s="5">
        <f>[1]Expense!I4</f>
        <v>3000</v>
      </c>
      <c r="L7" s="5">
        <f>[2]Expense!K4</f>
        <v>2580</v>
      </c>
      <c r="M7" s="5">
        <v>3360</v>
      </c>
      <c r="N7" s="5">
        <v>2980</v>
      </c>
      <c r="O7" s="38">
        <f>(G7-K7)/K7</f>
        <v>0</v>
      </c>
      <c r="P7" s="18">
        <f>+G7-K7</f>
        <v>0</v>
      </c>
    </row>
    <row r="8" spans="1:16" x14ac:dyDescent="0.25">
      <c r="A8" s="1">
        <v>14110</v>
      </c>
      <c r="B8" s="1">
        <v>53200</v>
      </c>
      <c r="C8" s="1" t="s">
        <v>9</v>
      </c>
      <c r="G8" s="5">
        <v>0</v>
      </c>
      <c r="H8" s="5">
        <v>0</v>
      </c>
      <c r="I8" s="5">
        <v>0</v>
      </c>
      <c r="J8" s="1">
        <f>[1]Expense!N5</f>
        <v>0</v>
      </c>
      <c r="K8" s="5">
        <f>[1]Expense!I5</f>
        <v>0</v>
      </c>
      <c r="L8" s="5">
        <f>[2]Expense!K5</f>
        <v>5718.75</v>
      </c>
      <c r="M8" s="5">
        <v>20000</v>
      </c>
      <c r="N8" s="5">
        <v>0</v>
      </c>
      <c r="O8" s="38"/>
      <c r="P8" s="18">
        <f t="shared" ref="P8:P11" si="0">+G8-K8</f>
        <v>0</v>
      </c>
    </row>
    <row r="9" spans="1:16" x14ac:dyDescent="0.25">
      <c r="A9" s="1">
        <v>14110</v>
      </c>
      <c r="B9" s="1">
        <v>56105</v>
      </c>
      <c r="C9" s="1" t="s">
        <v>10</v>
      </c>
      <c r="G9" s="49">
        <v>1000</v>
      </c>
      <c r="H9" s="5">
        <v>650</v>
      </c>
      <c r="I9" s="5">
        <v>650</v>
      </c>
      <c r="J9" s="1">
        <f>[1]Expense!N6</f>
        <v>946</v>
      </c>
      <c r="K9" s="5">
        <f>[1]Expense!I6</f>
        <v>1108</v>
      </c>
      <c r="L9" s="5">
        <f>[2]Expense!K6</f>
        <v>811.75</v>
      </c>
      <c r="M9" s="5">
        <v>735.25</v>
      </c>
      <c r="N9" s="5">
        <v>714</v>
      </c>
      <c r="O9" s="38">
        <f t="shared" ref="O9:O11" si="1">(G9-K9)/K9</f>
        <v>-9.7472924187725629E-2</v>
      </c>
      <c r="P9" s="18">
        <f t="shared" si="0"/>
        <v>-108</v>
      </c>
    </row>
    <row r="10" spans="1:16" x14ac:dyDescent="0.25">
      <c r="A10" s="1">
        <v>14110</v>
      </c>
      <c r="B10" s="1">
        <v>56130</v>
      </c>
      <c r="C10" s="1" t="s">
        <v>11</v>
      </c>
      <c r="G10" s="49">
        <v>1900</v>
      </c>
      <c r="H10" s="5">
        <v>1800</v>
      </c>
      <c r="I10" s="5">
        <v>1800</v>
      </c>
      <c r="J10" s="1">
        <f>[1]Expense!N7</f>
        <v>1885</v>
      </c>
      <c r="K10" s="5">
        <f>[1]Expense!I7</f>
        <v>1800</v>
      </c>
      <c r="L10" s="5">
        <f>[2]Expense!K7</f>
        <v>1303.04</v>
      </c>
      <c r="M10" s="5">
        <v>1830.31</v>
      </c>
      <c r="N10" s="5">
        <v>1590.85</v>
      </c>
      <c r="O10" s="38">
        <f t="shared" si="1"/>
        <v>5.5555555555555552E-2</v>
      </c>
      <c r="P10" s="18">
        <f t="shared" si="0"/>
        <v>100</v>
      </c>
    </row>
    <row r="11" spans="1:16" s="8" customFormat="1" x14ac:dyDescent="0.25">
      <c r="A11" s="8" t="s">
        <v>12</v>
      </c>
      <c r="B11" s="8" t="s">
        <v>13</v>
      </c>
      <c r="G11" s="21">
        <f>SUM(G7:G10)</f>
        <v>5900</v>
      </c>
      <c r="H11" s="21">
        <f>SUM(H7:H10)</f>
        <v>5450</v>
      </c>
      <c r="I11" s="21">
        <f t="shared" ref="I11:N11" si="2">SUM(I7:I10)</f>
        <v>5450</v>
      </c>
      <c r="J11" s="21">
        <f>[1]Expense!$J$8</f>
        <v>5771.53</v>
      </c>
      <c r="K11" s="21">
        <f t="shared" si="2"/>
        <v>5908</v>
      </c>
      <c r="L11" s="21">
        <f>SUM(L7:L10)</f>
        <v>10413.540000000001</v>
      </c>
      <c r="M11" s="21">
        <f t="shared" si="2"/>
        <v>25925.56</v>
      </c>
      <c r="N11" s="21">
        <f t="shared" si="2"/>
        <v>5284.85</v>
      </c>
      <c r="O11" s="62">
        <f t="shared" si="1"/>
        <v>-1.3540961408259986E-3</v>
      </c>
      <c r="P11" s="18">
        <f t="shared" si="0"/>
        <v>-8</v>
      </c>
    </row>
    <row r="12" spans="1:16" x14ac:dyDescent="0.25">
      <c r="G12" s="19"/>
      <c r="O12" s="38"/>
    </row>
    <row r="13" spans="1:16" s="8" customFormat="1" x14ac:dyDescent="0.25">
      <c r="A13" s="8">
        <v>14123</v>
      </c>
      <c r="B13" s="8" t="s">
        <v>14</v>
      </c>
      <c r="G13" s="21"/>
      <c r="H13" s="21"/>
      <c r="I13" s="9"/>
      <c r="K13" s="9"/>
      <c r="L13" s="9"/>
      <c r="M13" s="9"/>
      <c r="N13" s="9"/>
      <c r="O13" s="38"/>
    </row>
    <row r="14" spans="1:16" x14ac:dyDescent="0.25">
      <c r="A14" s="1">
        <v>14123</v>
      </c>
      <c r="B14" s="1">
        <v>51100</v>
      </c>
      <c r="C14" s="1" t="s">
        <v>15</v>
      </c>
      <c r="G14" s="5">
        <v>686850</v>
      </c>
      <c r="H14" s="5">
        <v>686850</v>
      </c>
      <c r="I14" s="5">
        <v>686850</v>
      </c>
      <c r="J14" s="5">
        <f>[1]Expense!N11</f>
        <v>627782.64</v>
      </c>
      <c r="K14" s="5">
        <f>[1]Expense!I11</f>
        <v>662862</v>
      </c>
      <c r="L14" s="5">
        <f>[2]Expense!K11</f>
        <v>511400.41</v>
      </c>
      <c r="M14" s="5">
        <v>513051.3</v>
      </c>
      <c r="N14" s="5">
        <v>486199.72</v>
      </c>
      <c r="O14" s="38">
        <f>(G14-K14)/K14</f>
        <v>3.6188527928890178E-2</v>
      </c>
      <c r="P14" s="18">
        <f>G14-K14</f>
        <v>23988</v>
      </c>
    </row>
    <row r="15" spans="1:16" x14ac:dyDescent="0.25">
      <c r="A15" s="1">
        <v>14123</v>
      </c>
      <c r="B15" s="1">
        <v>51200</v>
      </c>
      <c r="C15" s="1" t="s">
        <v>16</v>
      </c>
      <c r="G15" s="46">
        <v>52273</v>
      </c>
      <c r="H15" s="5">
        <v>45500</v>
      </c>
      <c r="I15" s="5">
        <v>45500</v>
      </c>
      <c r="J15" s="5">
        <f>[1]Expense!N12</f>
        <v>52502.95</v>
      </c>
      <c r="K15" s="5">
        <f>[1]Expense!I12</f>
        <v>53316.67</v>
      </c>
      <c r="L15" s="5">
        <f>[2]Expense!K12</f>
        <v>67985.05</v>
      </c>
      <c r="M15" s="5">
        <v>55340.480000000003</v>
      </c>
      <c r="N15" s="5">
        <v>29624.51</v>
      </c>
      <c r="O15" s="38">
        <f t="shared" ref="O15:O26" si="3">(G15-K15)/K15</f>
        <v>-1.9574928441704973E-2</v>
      </c>
      <c r="P15" s="18">
        <f t="shared" ref="P15:P25" si="4">G15-K15</f>
        <v>-1043.6699999999983</v>
      </c>
    </row>
    <row r="16" spans="1:16" x14ac:dyDescent="0.25">
      <c r="A16" s="1">
        <v>14123</v>
      </c>
      <c r="B16" s="1">
        <v>51300</v>
      </c>
      <c r="C16" s="1" t="s">
        <v>17</v>
      </c>
      <c r="G16" s="5">
        <v>98093</v>
      </c>
      <c r="H16" s="5">
        <v>98093</v>
      </c>
      <c r="I16" s="5">
        <v>98093</v>
      </c>
      <c r="J16" s="5">
        <f>[1]Expense!N13</f>
        <v>98093</v>
      </c>
      <c r="K16" s="5">
        <f>[1]Expense!I13</f>
        <v>98093</v>
      </c>
      <c r="L16" s="5">
        <f>[2]Expense!K13</f>
        <v>89164</v>
      </c>
      <c r="M16" s="5">
        <v>89164</v>
      </c>
      <c r="N16" s="5">
        <v>89164</v>
      </c>
      <c r="O16" s="38">
        <f t="shared" si="3"/>
        <v>0</v>
      </c>
      <c r="P16" s="18">
        <f t="shared" si="4"/>
        <v>0</v>
      </c>
    </row>
    <row r="17" spans="1:17" x14ac:dyDescent="0.25">
      <c r="A17" s="1">
        <v>14123</v>
      </c>
      <c r="B17" s="1">
        <v>51400</v>
      </c>
      <c r="C17" s="1" t="s">
        <v>18</v>
      </c>
      <c r="G17" s="5"/>
      <c r="H17" s="5"/>
      <c r="J17" s="5">
        <f>[1]Expense!N14</f>
        <v>280.91000000000003</v>
      </c>
      <c r="K17" s="5">
        <f>[1]Expense!I14</f>
        <v>0</v>
      </c>
      <c r="L17" s="5">
        <f>[2]Expense!K14</f>
        <v>519.39</v>
      </c>
      <c r="M17" s="5">
        <v>90.08</v>
      </c>
      <c r="N17" s="5">
        <v>10.91</v>
      </c>
      <c r="O17" s="38"/>
      <c r="P17" s="18">
        <f t="shared" si="4"/>
        <v>0</v>
      </c>
    </row>
    <row r="18" spans="1:17" x14ac:dyDescent="0.25">
      <c r="A18" s="1">
        <v>14123</v>
      </c>
      <c r="B18" s="1">
        <v>51500</v>
      </c>
      <c r="C18" s="1" t="s">
        <v>19</v>
      </c>
      <c r="G18" s="46">
        <v>16055</v>
      </c>
      <c r="H18" s="5">
        <v>13555</v>
      </c>
      <c r="I18" s="5">
        <v>13555</v>
      </c>
      <c r="J18" s="5">
        <f>[1]Expense!N15</f>
        <v>12322.19</v>
      </c>
      <c r="K18" s="5">
        <f>[1]Expense!I15</f>
        <v>6000</v>
      </c>
      <c r="L18" s="5">
        <f>[2]Expense!K15</f>
        <v>5047.41</v>
      </c>
      <c r="M18" s="5">
        <v>0</v>
      </c>
      <c r="N18" s="5">
        <v>0</v>
      </c>
      <c r="O18" s="38">
        <f t="shared" si="3"/>
        <v>1.6758333333333333</v>
      </c>
      <c r="P18" s="18">
        <f t="shared" si="4"/>
        <v>10055</v>
      </c>
    </row>
    <row r="19" spans="1:17" x14ac:dyDescent="0.25">
      <c r="A19" s="1">
        <v>14123</v>
      </c>
      <c r="B19" s="1">
        <v>51510</v>
      </c>
      <c r="C19" s="1" t="s">
        <v>20</v>
      </c>
      <c r="G19" s="5"/>
      <c r="H19" s="5"/>
      <c r="J19" s="5"/>
      <c r="M19" s="5">
        <v>3777.84</v>
      </c>
      <c r="N19" s="5">
        <v>2570.16</v>
      </c>
      <c r="O19" s="38"/>
      <c r="P19" s="18">
        <f t="shared" si="4"/>
        <v>0</v>
      </c>
    </row>
    <row r="20" spans="1:17" x14ac:dyDescent="0.25">
      <c r="A20" s="1">
        <v>14123</v>
      </c>
      <c r="B20" s="1">
        <v>51520</v>
      </c>
      <c r="C20" s="1" t="s">
        <v>21</v>
      </c>
      <c r="G20" s="5">
        <v>1200</v>
      </c>
      <c r="H20" s="5">
        <v>1200</v>
      </c>
      <c r="I20" s="5">
        <v>1200</v>
      </c>
      <c r="J20" s="5">
        <f>[1]Expense!N16</f>
        <v>900</v>
      </c>
      <c r="K20" s="5">
        <f>[1]Expense!I16</f>
        <v>900</v>
      </c>
      <c r="L20" s="5">
        <f>[2]Expense!$K$16</f>
        <v>560</v>
      </c>
      <c r="M20" s="5">
        <v>580</v>
      </c>
      <c r="N20" s="5">
        <v>580</v>
      </c>
      <c r="O20" s="38">
        <f t="shared" si="3"/>
        <v>0.33333333333333331</v>
      </c>
      <c r="P20" s="18">
        <f t="shared" si="4"/>
        <v>300</v>
      </c>
    </row>
    <row r="21" spans="1:17" x14ac:dyDescent="0.25">
      <c r="A21" s="1">
        <v>14123</v>
      </c>
      <c r="B21" s="1">
        <v>52100</v>
      </c>
      <c r="C21" s="1" t="s">
        <v>22</v>
      </c>
      <c r="G21" s="46">
        <v>150616</v>
      </c>
      <c r="H21" s="5">
        <v>153000</v>
      </c>
      <c r="I21" s="5">
        <v>153000</v>
      </c>
      <c r="J21" s="5">
        <f>[1]Expense!N17</f>
        <v>112833.39</v>
      </c>
      <c r="K21" s="5">
        <f>[1]Expense!I17</f>
        <v>127765</v>
      </c>
      <c r="L21" s="5">
        <f>[2]Expense!K17</f>
        <v>120923.02</v>
      </c>
      <c r="M21" s="5">
        <v>154915.34</v>
      </c>
      <c r="N21" s="5">
        <v>146741.32999999999</v>
      </c>
      <c r="O21" s="38">
        <f t="shared" si="3"/>
        <v>0.17885179822330058</v>
      </c>
      <c r="P21" s="18">
        <f t="shared" si="4"/>
        <v>22851</v>
      </c>
    </row>
    <row r="22" spans="1:17" x14ac:dyDescent="0.25">
      <c r="A22" s="1">
        <v>14123</v>
      </c>
      <c r="B22" s="1">
        <v>52140</v>
      </c>
      <c r="C22" s="1" t="s">
        <v>23</v>
      </c>
      <c r="G22" s="46">
        <v>3505</v>
      </c>
      <c r="H22" s="5">
        <v>4089</v>
      </c>
      <c r="I22" s="5">
        <v>4089</v>
      </c>
      <c r="J22" s="5">
        <f>[1]Expense!N18</f>
        <v>1820</v>
      </c>
      <c r="K22" s="5">
        <f>[1]Expense!I18</f>
        <v>3321</v>
      </c>
      <c r="O22" s="38">
        <f t="shared" si="3"/>
        <v>5.540499849442939E-2</v>
      </c>
      <c r="P22" s="18">
        <f t="shared" si="4"/>
        <v>184</v>
      </c>
    </row>
    <row r="23" spans="1:17" x14ac:dyDescent="0.25">
      <c r="A23" s="1">
        <v>14123</v>
      </c>
      <c r="B23" s="1">
        <v>52200</v>
      </c>
      <c r="C23" s="1" t="s">
        <v>24</v>
      </c>
      <c r="G23" s="5">
        <v>64700</v>
      </c>
      <c r="H23" s="5">
        <v>64700</v>
      </c>
      <c r="I23" s="5">
        <v>64700</v>
      </c>
      <c r="J23" s="5">
        <f>[1]Expense!N19</f>
        <v>59501.26</v>
      </c>
      <c r="K23" s="5">
        <f>[1]Expense!I19</f>
        <v>63300</v>
      </c>
      <c r="L23" s="5">
        <f>[2]Expense!K18</f>
        <v>50352.42</v>
      </c>
      <c r="M23" s="5">
        <v>49466.96</v>
      </c>
      <c r="N23" s="5">
        <v>45054.78</v>
      </c>
      <c r="O23" s="38">
        <f t="shared" si="3"/>
        <v>2.2116903633491312E-2</v>
      </c>
      <c r="P23" s="18">
        <f t="shared" si="4"/>
        <v>1400</v>
      </c>
    </row>
    <row r="24" spans="1:17" x14ac:dyDescent="0.25">
      <c r="A24" s="1">
        <v>14123</v>
      </c>
      <c r="B24" s="1">
        <v>52230</v>
      </c>
      <c r="C24" s="1" t="s">
        <v>25</v>
      </c>
      <c r="G24" s="5">
        <v>108200</v>
      </c>
      <c r="H24" s="5">
        <v>108200</v>
      </c>
      <c r="I24" s="5">
        <v>108200</v>
      </c>
      <c r="J24" s="5">
        <f>[1]Expense!N20</f>
        <v>100612.84</v>
      </c>
      <c r="K24" s="5">
        <f>[1]Expense!I20</f>
        <v>106800</v>
      </c>
      <c r="L24" s="5">
        <f>[2]Expense!K19</f>
        <v>83715.23</v>
      </c>
      <c r="M24" s="5">
        <v>76587.92</v>
      </c>
      <c r="N24" s="5">
        <v>64595.48</v>
      </c>
      <c r="O24" s="38">
        <f t="shared" si="3"/>
        <v>1.3108614232209739E-2</v>
      </c>
      <c r="P24" s="18">
        <f t="shared" si="4"/>
        <v>1400</v>
      </c>
    </row>
    <row r="25" spans="1:17" x14ac:dyDescent="0.25">
      <c r="A25" s="1">
        <v>14123</v>
      </c>
      <c r="B25" s="1">
        <v>52250</v>
      </c>
      <c r="C25" s="1" t="s">
        <v>26</v>
      </c>
      <c r="G25" s="5">
        <v>521</v>
      </c>
      <c r="H25" s="5">
        <v>521</v>
      </c>
      <c r="I25" s="5">
        <v>521</v>
      </c>
      <c r="J25" s="5">
        <f>[1]Expense!N21</f>
        <v>322.26</v>
      </c>
      <c r="K25" s="5">
        <f>[1]Expense!I21</f>
        <v>323</v>
      </c>
      <c r="L25" s="5">
        <f>[2]Expense!K20</f>
        <v>357.74</v>
      </c>
      <c r="M25" s="5">
        <v>266.04000000000002</v>
      </c>
      <c r="N25" s="5">
        <v>266.04000000000002</v>
      </c>
      <c r="O25" s="38">
        <f>(G25-K25)/K25</f>
        <v>0.61300309597523217</v>
      </c>
      <c r="P25" s="18">
        <f t="shared" si="4"/>
        <v>198</v>
      </c>
    </row>
    <row r="26" spans="1:17" x14ac:dyDescent="0.25">
      <c r="A26" s="1">
        <v>14123</v>
      </c>
      <c r="B26" s="1">
        <v>52260</v>
      </c>
      <c r="C26" s="1" t="s">
        <v>27</v>
      </c>
      <c r="G26" s="5">
        <v>1361</v>
      </c>
      <c r="H26" s="5">
        <v>1361</v>
      </c>
      <c r="I26" s="5">
        <v>1361</v>
      </c>
      <c r="J26" s="5">
        <f>[1]Expense!N22</f>
        <v>1413</v>
      </c>
      <c r="K26" s="5">
        <f>[1]Expense!I22</f>
        <v>1413</v>
      </c>
      <c r="L26" s="5">
        <f>[2]Expense!K21</f>
        <v>1774</v>
      </c>
      <c r="M26" s="5">
        <v>1083</v>
      </c>
      <c r="N26" s="5">
        <v>1262</v>
      </c>
      <c r="O26" s="38">
        <f t="shared" si="3"/>
        <v>-3.680113234253362E-2</v>
      </c>
      <c r="P26" s="18">
        <f>G26-K26</f>
        <v>-52</v>
      </c>
      <c r="Q26" s="18">
        <f>SUM(P14:P26)</f>
        <v>59280.33</v>
      </c>
    </row>
    <row r="27" spans="1:17" x14ac:dyDescent="0.25">
      <c r="A27" s="1">
        <v>14123</v>
      </c>
      <c r="B27" s="1">
        <v>53000</v>
      </c>
      <c r="C27" s="1" t="s">
        <v>28</v>
      </c>
      <c r="G27" s="5">
        <v>4040</v>
      </c>
      <c r="H27" s="5">
        <v>4040</v>
      </c>
      <c r="I27" s="5">
        <v>4040</v>
      </c>
      <c r="J27" s="5">
        <f>[1]Expense!N23</f>
        <v>3690</v>
      </c>
      <c r="K27" s="5">
        <f>[1]Expense!I23</f>
        <v>4040</v>
      </c>
      <c r="L27" s="5">
        <f>[2]Expense!K22</f>
        <v>5139.6499999999996</v>
      </c>
      <c r="M27" s="1">
        <v>2875</v>
      </c>
      <c r="N27" s="1">
        <v>3240</v>
      </c>
      <c r="O27" s="38">
        <f t="shared" ref="O27:O28" si="5">(G27-K27)/K27</f>
        <v>0</v>
      </c>
      <c r="P27" s="18">
        <f t="shared" ref="P27:P28" si="6">G27-K27</f>
        <v>0</v>
      </c>
    </row>
    <row r="28" spans="1:17" x14ac:dyDescent="0.25">
      <c r="A28" s="1">
        <v>14123</v>
      </c>
      <c r="B28" s="1">
        <v>53410</v>
      </c>
      <c r="C28" s="1" t="s">
        <v>29</v>
      </c>
      <c r="G28" s="5">
        <v>1000</v>
      </c>
      <c r="H28" s="5">
        <v>1000</v>
      </c>
      <c r="I28" s="5">
        <v>1000</v>
      </c>
      <c r="J28" s="5">
        <f>[1]Expense!N24</f>
        <v>926.39</v>
      </c>
      <c r="K28" s="5">
        <f>[1]Expense!I24</f>
        <v>1200</v>
      </c>
      <c r="L28" s="5">
        <f>[2]Expense!K23</f>
        <v>907.96</v>
      </c>
      <c r="M28" s="5">
        <v>1452</v>
      </c>
      <c r="N28" s="5">
        <v>1057.1300000000001</v>
      </c>
      <c r="O28" s="38">
        <f t="shared" si="5"/>
        <v>-0.16666666666666666</v>
      </c>
      <c r="P28" s="18">
        <f t="shared" si="6"/>
        <v>-200</v>
      </c>
    </row>
    <row r="29" spans="1:17" x14ac:dyDescent="0.25">
      <c r="B29" s="1">
        <v>53420</v>
      </c>
      <c r="C29" s="1" t="s">
        <v>717</v>
      </c>
      <c r="G29" s="5"/>
      <c r="H29" s="5"/>
      <c r="J29" s="5">
        <f>[1]Expense!N25</f>
        <v>881</v>
      </c>
      <c r="K29" s="5">
        <f>[1]Expense!I25</f>
        <v>0</v>
      </c>
      <c r="O29" s="38"/>
      <c r="P29" s="18"/>
    </row>
    <row r="30" spans="1:17" x14ac:dyDescent="0.25">
      <c r="A30" s="1">
        <v>14123</v>
      </c>
      <c r="B30" s="1">
        <v>53421</v>
      </c>
      <c r="C30" s="1" t="s">
        <v>30</v>
      </c>
      <c r="G30" s="19">
        <v>2796</v>
      </c>
      <c r="H30" s="19">
        <v>2796</v>
      </c>
      <c r="I30" s="19">
        <v>2796</v>
      </c>
      <c r="J30" s="5">
        <f>[1]Expense!N26</f>
        <v>737.31</v>
      </c>
      <c r="K30" s="5">
        <f>[1]Expense!I26</f>
        <v>900</v>
      </c>
      <c r="L30" s="5">
        <f>[2]Expense!K24</f>
        <v>768</v>
      </c>
      <c r="M30" s="5">
        <v>2469</v>
      </c>
      <c r="N30" s="5">
        <v>0</v>
      </c>
      <c r="O30" s="38" t="e">
        <f>(G30-K29)/K29</f>
        <v>#DIV/0!</v>
      </c>
      <c r="P30" s="18">
        <f>G30-K29</f>
        <v>2796</v>
      </c>
    </row>
    <row r="31" spans="1:17" x14ac:dyDescent="0.25">
      <c r="C31" s="1" t="s">
        <v>281</v>
      </c>
      <c r="D31" s="1">
        <v>12</v>
      </c>
      <c r="E31" s="1">
        <v>75</v>
      </c>
      <c r="F31" s="1">
        <v>900</v>
      </c>
      <c r="G31" s="5"/>
      <c r="H31" s="5"/>
      <c r="J31" s="5"/>
      <c r="O31" s="38"/>
      <c r="P31" s="18"/>
    </row>
    <row r="32" spans="1:17" x14ac:dyDescent="0.25">
      <c r="C32" s="1" t="s">
        <v>282</v>
      </c>
      <c r="D32" s="1">
        <v>12</v>
      </c>
      <c r="E32" s="1">
        <v>158</v>
      </c>
      <c r="F32" s="1">
        <v>1896</v>
      </c>
      <c r="G32" s="5"/>
      <c r="H32" s="5"/>
      <c r="J32" s="5"/>
      <c r="O32" s="38"/>
      <c r="P32" s="18"/>
    </row>
    <row r="33" spans="1:16" x14ac:dyDescent="0.25">
      <c r="A33" s="1">
        <v>14123</v>
      </c>
      <c r="B33" s="1">
        <v>53425</v>
      </c>
      <c r="C33" s="1" t="s">
        <v>31</v>
      </c>
      <c r="G33" s="19">
        <v>9979</v>
      </c>
      <c r="H33" s="19">
        <v>9979</v>
      </c>
      <c r="I33" s="19">
        <v>9979</v>
      </c>
      <c r="J33" s="5">
        <f>[1]Expense!N27</f>
        <v>6600</v>
      </c>
      <c r="K33" s="5">
        <f>[1]Expense!I27</f>
        <v>15500</v>
      </c>
      <c r="L33" s="5">
        <f>[2]Expense!K25</f>
        <v>11887.8</v>
      </c>
      <c r="M33" s="5">
        <v>8710.06</v>
      </c>
      <c r="N33" s="5">
        <v>8846.8799999999992</v>
      </c>
      <c r="O33" s="38">
        <f>(G33-K30)/K30</f>
        <v>10.087777777777777</v>
      </c>
      <c r="P33" s="18">
        <f>G33-K30</f>
        <v>9079</v>
      </c>
    </row>
    <row r="34" spans="1:16" x14ac:dyDescent="0.25">
      <c r="C34" s="1" t="s">
        <v>289</v>
      </c>
      <c r="D34" s="1">
        <v>1</v>
      </c>
      <c r="E34" s="1">
        <v>6600</v>
      </c>
      <c r="F34" s="1">
        <v>6600</v>
      </c>
      <c r="G34" s="19"/>
      <c r="I34" s="19"/>
      <c r="J34" s="5"/>
      <c r="O34" s="38"/>
      <c r="P34" s="18"/>
    </row>
    <row r="35" spans="1:16" x14ac:dyDescent="0.25">
      <c r="C35" s="1" t="s">
        <v>290</v>
      </c>
      <c r="D35" s="1">
        <v>1</v>
      </c>
      <c r="E35" s="1">
        <v>3229</v>
      </c>
      <c r="F35" s="1">
        <v>3229</v>
      </c>
      <c r="G35" s="19"/>
      <c r="I35" s="19"/>
      <c r="J35" s="5"/>
      <c r="O35" s="38"/>
      <c r="P35" s="18"/>
    </row>
    <row r="36" spans="1:16" x14ac:dyDescent="0.25">
      <c r="C36" s="1" t="s">
        <v>291</v>
      </c>
      <c r="D36" s="1">
        <v>1</v>
      </c>
      <c r="E36" s="1">
        <v>150</v>
      </c>
      <c r="F36" s="1">
        <v>150</v>
      </c>
      <c r="G36" s="19"/>
      <c r="I36" s="19"/>
      <c r="J36" s="5"/>
      <c r="O36" s="38"/>
      <c r="P36" s="18"/>
    </row>
    <row r="37" spans="1:16" x14ac:dyDescent="0.25">
      <c r="A37" s="1">
        <v>14123</v>
      </c>
      <c r="B37" s="1">
        <v>53500</v>
      </c>
      <c r="C37" s="1" t="s">
        <v>32</v>
      </c>
      <c r="G37" s="5">
        <v>20000</v>
      </c>
      <c r="H37" s="5">
        <v>20000</v>
      </c>
      <c r="I37" s="5">
        <v>20000</v>
      </c>
      <c r="J37" s="5">
        <f>[1]Expense!N28</f>
        <v>22477.11</v>
      </c>
      <c r="K37" s="5">
        <f>[1]Expense!I28</f>
        <v>18000</v>
      </c>
      <c r="L37" s="5">
        <f>[2]Expense!K26</f>
        <v>16873.63</v>
      </c>
      <c r="M37" s="5">
        <v>20483.62</v>
      </c>
      <c r="N37" s="5">
        <v>17352.82</v>
      </c>
      <c r="O37" s="38">
        <f>(G37-K33)/K33</f>
        <v>0.29032258064516131</v>
      </c>
      <c r="P37" s="18">
        <f>G37-K33</f>
        <v>4500</v>
      </c>
    </row>
    <row r="38" spans="1:16" x14ac:dyDescent="0.25">
      <c r="A38" s="1">
        <v>14123</v>
      </c>
      <c r="B38" s="1">
        <v>53510</v>
      </c>
      <c r="C38" s="1" t="s">
        <v>33</v>
      </c>
      <c r="G38" s="5">
        <v>15000</v>
      </c>
      <c r="H38" s="5">
        <v>15000</v>
      </c>
      <c r="I38" s="5">
        <v>15000</v>
      </c>
      <c r="J38" s="5">
        <f>[1]Expense!N29</f>
        <v>12460.48</v>
      </c>
      <c r="K38" s="5">
        <f>[1]Expense!I29</f>
        <v>10000</v>
      </c>
      <c r="L38" s="5">
        <f>[2]Expense!K27</f>
        <v>20079.54</v>
      </c>
      <c r="M38" s="5">
        <v>2582.89</v>
      </c>
      <c r="N38" s="5">
        <v>0</v>
      </c>
      <c r="O38" s="38">
        <f t="shared" ref="O38:O49" si="7">(G38-K37)/K37</f>
        <v>-0.16666666666666666</v>
      </c>
      <c r="P38" s="18">
        <f t="shared" ref="P38:P49" si="8">G38-K37</f>
        <v>-3000</v>
      </c>
    </row>
    <row r="39" spans="1:16" x14ac:dyDescent="0.25">
      <c r="A39" s="1">
        <v>14123</v>
      </c>
      <c r="B39" s="1">
        <v>54350</v>
      </c>
      <c r="C39" s="1" t="s">
        <v>34</v>
      </c>
      <c r="G39" s="5"/>
      <c r="H39" s="5"/>
      <c r="J39" s="5">
        <f>[1]Expense!N30</f>
        <v>161.99</v>
      </c>
      <c r="K39" s="5">
        <f>[1]Expense!I30</f>
        <v>250</v>
      </c>
      <c r="L39" s="5">
        <f>[2]Expense!K28</f>
        <v>165</v>
      </c>
      <c r="M39" s="5">
        <v>0</v>
      </c>
      <c r="N39" s="5">
        <v>0</v>
      </c>
      <c r="O39" s="38">
        <f t="shared" si="7"/>
        <v>-1</v>
      </c>
      <c r="P39" s="18">
        <f t="shared" si="8"/>
        <v>-10000</v>
      </c>
    </row>
    <row r="40" spans="1:16" x14ac:dyDescent="0.25">
      <c r="A40" s="1">
        <v>14123</v>
      </c>
      <c r="B40" s="1">
        <v>54353</v>
      </c>
      <c r="C40" s="1" t="s">
        <v>35</v>
      </c>
      <c r="G40" s="5">
        <v>3636</v>
      </c>
      <c r="H40" s="5">
        <v>3636</v>
      </c>
      <c r="I40" s="5">
        <v>3636</v>
      </c>
      <c r="J40" s="5">
        <f>[1]Expense!N31</f>
        <v>3334.91</v>
      </c>
      <c r="K40" s="5">
        <f>[1]Expense!I31</f>
        <v>3180</v>
      </c>
      <c r="L40" s="5">
        <f>[2]Expense!K29</f>
        <v>3247.79</v>
      </c>
      <c r="M40" s="5">
        <v>2727.96</v>
      </c>
      <c r="N40" s="5">
        <v>2853.06</v>
      </c>
      <c r="O40" s="38">
        <f t="shared" si="7"/>
        <v>13.544</v>
      </c>
      <c r="P40" s="18">
        <f t="shared" si="8"/>
        <v>3386</v>
      </c>
    </row>
    <row r="41" spans="1:16" x14ac:dyDescent="0.25">
      <c r="A41" s="1">
        <v>14123</v>
      </c>
      <c r="B41" s="1">
        <v>54800</v>
      </c>
      <c r="C41" s="1" t="s">
        <v>36</v>
      </c>
      <c r="G41" s="5">
        <v>6700</v>
      </c>
      <c r="H41" s="5">
        <v>6700</v>
      </c>
      <c r="I41" s="5">
        <v>6700</v>
      </c>
      <c r="J41" s="5">
        <f>[1]Expense!N32</f>
        <v>5687.03</v>
      </c>
      <c r="K41" s="5">
        <f>[1]Expense!I32</f>
        <v>5688</v>
      </c>
      <c r="L41" s="5">
        <f>[2]Expense!K30</f>
        <v>5170.04</v>
      </c>
      <c r="M41" s="5">
        <v>4831.79</v>
      </c>
      <c r="N41" s="5">
        <v>4515.6899999999996</v>
      </c>
      <c r="O41" s="38">
        <f t="shared" si="7"/>
        <v>1.1069182389937107</v>
      </c>
      <c r="P41" s="18">
        <f t="shared" si="8"/>
        <v>3520</v>
      </c>
    </row>
    <row r="42" spans="1:16" x14ac:dyDescent="0.25">
      <c r="A42" s="1">
        <v>14123</v>
      </c>
      <c r="B42" s="1">
        <v>55500</v>
      </c>
      <c r="C42" s="1" t="s">
        <v>37</v>
      </c>
      <c r="G42" s="5">
        <v>200</v>
      </c>
      <c r="H42" s="5">
        <v>200</v>
      </c>
      <c r="I42" s="5">
        <v>200</v>
      </c>
      <c r="J42" s="5">
        <f>[1]Expense!N33</f>
        <v>0</v>
      </c>
      <c r="K42" s="5">
        <f>[1]Expense!I33</f>
        <v>300</v>
      </c>
      <c r="L42" s="5">
        <f>[2]Expense!K31</f>
        <v>0</v>
      </c>
      <c r="M42" s="5">
        <v>196.11</v>
      </c>
      <c r="N42" s="5">
        <v>237.75</v>
      </c>
      <c r="O42" s="38">
        <f t="shared" si="7"/>
        <v>-0.96483825597749651</v>
      </c>
      <c r="P42" s="18">
        <f t="shared" si="8"/>
        <v>-5488</v>
      </c>
    </row>
    <row r="43" spans="1:16" x14ac:dyDescent="0.25">
      <c r="A43" s="1">
        <v>14123</v>
      </c>
      <c r="B43" s="1">
        <v>56105</v>
      </c>
      <c r="C43" s="1" t="s">
        <v>38</v>
      </c>
      <c r="G43" s="5">
        <v>500</v>
      </c>
      <c r="H43" s="5">
        <v>500</v>
      </c>
      <c r="I43" s="5">
        <v>500</v>
      </c>
      <c r="J43" s="5">
        <f>[1]Expense!N34</f>
        <v>650</v>
      </c>
      <c r="K43" s="5">
        <f>[1]Expense!I34</f>
        <v>500</v>
      </c>
      <c r="L43" s="5">
        <f>[2]Expense!K32</f>
        <v>1800</v>
      </c>
      <c r="M43" s="5">
        <v>0</v>
      </c>
      <c r="N43" s="5">
        <v>178.5</v>
      </c>
      <c r="O43" s="38">
        <f t="shared" si="7"/>
        <v>0.66666666666666663</v>
      </c>
      <c r="P43" s="18">
        <f t="shared" si="8"/>
        <v>200</v>
      </c>
    </row>
    <row r="44" spans="1:16" x14ac:dyDescent="0.25">
      <c r="A44" s="1">
        <v>14123</v>
      </c>
      <c r="B44" s="1">
        <v>56110</v>
      </c>
      <c r="C44" s="1" t="s">
        <v>39</v>
      </c>
      <c r="G44" s="5">
        <v>1000</v>
      </c>
      <c r="H44" s="5">
        <v>1000</v>
      </c>
      <c r="I44" s="5">
        <v>1000</v>
      </c>
      <c r="J44" s="5">
        <f>[1]Expense!N35</f>
        <v>732.15</v>
      </c>
      <c r="K44" s="5">
        <f>[1]Expense!I35</f>
        <v>1200</v>
      </c>
      <c r="L44" s="5">
        <f>[2]Expense!K33</f>
        <v>199</v>
      </c>
      <c r="M44" s="5">
        <v>994.18</v>
      </c>
      <c r="N44" s="5">
        <v>1151</v>
      </c>
      <c r="O44" s="38">
        <f t="shared" si="7"/>
        <v>1</v>
      </c>
      <c r="P44" s="18">
        <f t="shared" si="8"/>
        <v>500</v>
      </c>
    </row>
    <row r="45" spans="1:16" x14ac:dyDescent="0.25">
      <c r="A45" s="1">
        <v>14123</v>
      </c>
      <c r="B45" s="1">
        <v>56130</v>
      </c>
      <c r="C45" s="1" t="s">
        <v>11</v>
      </c>
      <c r="G45" s="5">
        <v>1000</v>
      </c>
      <c r="H45" s="5">
        <v>1000</v>
      </c>
      <c r="I45" s="5">
        <v>1000</v>
      </c>
      <c r="J45" s="5">
        <f>[1]Expense!N36</f>
        <v>713.5</v>
      </c>
      <c r="K45" s="5">
        <f>[1]Expense!I36</f>
        <v>1000</v>
      </c>
      <c r="L45" s="5">
        <f>[2]Expense!K34</f>
        <v>1072.1500000000001</v>
      </c>
      <c r="M45" s="5">
        <v>238.5</v>
      </c>
      <c r="N45" s="5">
        <v>42.55</v>
      </c>
      <c r="O45" s="38">
        <f t="shared" si="7"/>
        <v>-0.16666666666666666</v>
      </c>
      <c r="P45" s="18">
        <f t="shared" si="8"/>
        <v>-200</v>
      </c>
    </row>
    <row r="46" spans="1:16" x14ac:dyDescent="0.25">
      <c r="A46" s="1">
        <v>14123</v>
      </c>
      <c r="B46" s="1">
        <v>56200</v>
      </c>
      <c r="C46" s="1" t="s">
        <v>40</v>
      </c>
      <c r="G46" s="5">
        <v>2500</v>
      </c>
      <c r="H46" s="5">
        <v>2500</v>
      </c>
      <c r="I46" s="5">
        <v>2500</v>
      </c>
      <c r="J46" s="5">
        <f>[1]Expense!N37</f>
        <v>3078.5</v>
      </c>
      <c r="K46" s="5">
        <f>[1]Expense!I37</f>
        <v>3000</v>
      </c>
      <c r="L46" s="5">
        <f>[2]Expense!K35</f>
        <v>2852.93</v>
      </c>
      <c r="M46" s="5">
        <v>2592.52</v>
      </c>
      <c r="N46" s="5">
        <v>2022.46</v>
      </c>
      <c r="O46" s="38">
        <f t="shared" si="7"/>
        <v>1.5</v>
      </c>
      <c r="P46" s="18">
        <f t="shared" si="8"/>
        <v>1500</v>
      </c>
    </row>
    <row r="47" spans="1:16" x14ac:dyDescent="0.25">
      <c r="A47" s="1">
        <v>14123</v>
      </c>
      <c r="B47" s="1">
        <v>56250</v>
      </c>
      <c r="C47" s="1" t="s">
        <v>41</v>
      </c>
      <c r="G47" s="5">
        <v>1000</v>
      </c>
      <c r="H47" s="5">
        <v>1000</v>
      </c>
      <c r="I47" s="5">
        <v>1000</v>
      </c>
      <c r="J47" s="5">
        <f>[1]Expense!N38</f>
        <v>1148.8</v>
      </c>
      <c r="K47" s="5">
        <f>[1]Expense!I38</f>
        <v>1000</v>
      </c>
      <c r="L47" s="5">
        <f>[2]Expense!K36</f>
        <v>1161.4100000000001</v>
      </c>
      <c r="M47" s="5">
        <v>1248.81</v>
      </c>
      <c r="N47" s="5">
        <v>1011.26</v>
      </c>
      <c r="O47" s="38">
        <f t="shared" si="7"/>
        <v>-0.66666666666666663</v>
      </c>
      <c r="P47" s="18">
        <f t="shared" si="8"/>
        <v>-2000</v>
      </c>
    </row>
    <row r="48" spans="1:16" x14ac:dyDescent="0.25">
      <c r="A48" s="1">
        <v>14123</v>
      </c>
      <c r="B48" s="1">
        <v>56670</v>
      </c>
      <c r="C48" s="1" t="s">
        <v>42</v>
      </c>
      <c r="G48" s="5">
        <v>2000</v>
      </c>
      <c r="H48" s="5">
        <v>2000</v>
      </c>
      <c r="I48" s="5">
        <v>2000</v>
      </c>
      <c r="J48" s="5">
        <f>[1]Expense!N39</f>
        <v>2380.3000000000002</v>
      </c>
      <c r="K48" s="5">
        <f>[1]Expense!I39</f>
        <v>800</v>
      </c>
      <c r="L48" s="5">
        <f>[2]Expense!K37</f>
        <v>1415.44</v>
      </c>
      <c r="M48" s="5">
        <v>1100.1199999999999</v>
      </c>
      <c r="N48" s="5">
        <v>1051.3900000000001</v>
      </c>
      <c r="O48" s="38">
        <f t="shared" si="7"/>
        <v>1</v>
      </c>
      <c r="P48" s="18">
        <f t="shared" si="8"/>
        <v>1000</v>
      </c>
    </row>
    <row r="49" spans="1:16" x14ac:dyDescent="0.25">
      <c r="A49" s="1">
        <v>14123</v>
      </c>
      <c r="B49" s="1">
        <v>56680</v>
      </c>
      <c r="C49" s="1" t="s">
        <v>43</v>
      </c>
      <c r="G49" s="5">
        <v>300</v>
      </c>
      <c r="H49" s="5">
        <v>300</v>
      </c>
      <c r="I49" s="5">
        <v>300</v>
      </c>
      <c r="J49" s="5">
        <f>[1]Expense!$J$40</f>
        <v>1909.77</v>
      </c>
      <c r="K49" s="5">
        <f>[1]Expense!$I$40</f>
        <v>2000</v>
      </c>
      <c r="L49" s="5">
        <f>[2]Expense!K38</f>
        <v>2980.83</v>
      </c>
      <c r="M49" s="5">
        <v>0</v>
      </c>
      <c r="N49" s="5">
        <v>4212.3900000000003</v>
      </c>
      <c r="O49" s="38">
        <f t="shared" si="7"/>
        <v>-0.625</v>
      </c>
      <c r="P49" s="18">
        <f t="shared" si="8"/>
        <v>-500</v>
      </c>
    </row>
    <row r="50" spans="1:16" x14ac:dyDescent="0.25">
      <c r="C50" s="1" t="s">
        <v>292</v>
      </c>
      <c r="D50" s="1">
        <v>1</v>
      </c>
      <c r="E50" s="1">
        <v>300</v>
      </c>
      <c r="F50" s="1">
        <v>300</v>
      </c>
      <c r="G50" s="19"/>
      <c r="J50" s="5"/>
      <c r="O50" s="38"/>
      <c r="P50" s="18">
        <f>H50-K50</f>
        <v>0</v>
      </c>
    </row>
    <row r="51" spans="1:16" s="8" customFormat="1" x14ac:dyDescent="0.25">
      <c r="A51" s="8" t="s">
        <v>12</v>
      </c>
      <c r="B51" s="8" t="s">
        <v>44</v>
      </c>
      <c r="G51" s="21">
        <f t="shared" ref="G51" si="9">SUM(G14:G49)</f>
        <v>1255025</v>
      </c>
      <c r="H51" s="21">
        <f>SUM(H14:H49)</f>
        <v>1248720</v>
      </c>
      <c r="I51" s="9">
        <f>SUM(I14:I49)</f>
        <v>1248720</v>
      </c>
      <c r="J51" s="9">
        <f>SUM(J14:J50)</f>
        <v>1135953.68</v>
      </c>
      <c r="K51" s="9">
        <f>SUM(K14:K50)</f>
        <v>1192651.67</v>
      </c>
      <c r="L51" s="9">
        <f>SUM(L14:L49)</f>
        <v>1007519.8400000002</v>
      </c>
      <c r="M51" s="9">
        <f>SUM(M14:M49)</f>
        <v>996825.52000000014</v>
      </c>
      <c r="N51" s="9">
        <f>SUM(N14:N49)</f>
        <v>913841.81</v>
      </c>
      <c r="O51" s="39">
        <f>(G51-K51)/K51</f>
        <v>5.2298027637860164E-2</v>
      </c>
      <c r="P51" s="40">
        <f>H51-K51</f>
        <v>56068.330000000075</v>
      </c>
    </row>
    <row r="52" spans="1:16" x14ac:dyDescent="0.25">
      <c r="G52" s="19"/>
      <c r="J52" s="40"/>
      <c r="O52" s="38"/>
    </row>
    <row r="53" spans="1:16" s="8" customFormat="1" x14ac:dyDescent="0.25">
      <c r="A53" s="8">
        <v>14130</v>
      </c>
      <c r="B53" s="8" t="s">
        <v>45</v>
      </c>
      <c r="G53" s="21"/>
      <c r="H53" s="21"/>
      <c r="I53" s="9"/>
      <c r="J53" s="1"/>
      <c r="K53" s="9"/>
      <c r="L53" s="9"/>
      <c r="M53" s="9"/>
      <c r="N53" s="9"/>
      <c r="O53" s="38"/>
    </row>
    <row r="54" spans="1:16" x14ac:dyDescent="0.25">
      <c r="A54" s="1">
        <v>14130</v>
      </c>
      <c r="B54" s="1">
        <v>51100</v>
      </c>
      <c r="C54" s="1" t="s">
        <v>15</v>
      </c>
      <c r="G54" s="5">
        <v>242900</v>
      </c>
      <c r="H54" s="5">
        <v>242900</v>
      </c>
      <c r="I54" s="5">
        <v>242900</v>
      </c>
      <c r="J54" s="5">
        <f>[1]Expense!N44</f>
        <v>212424.1</v>
      </c>
      <c r="K54" s="5">
        <f>[1]Expense!I44</f>
        <v>207500</v>
      </c>
      <c r="L54" s="5">
        <f>[2]Expense!K42</f>
        <v>202590.61</v>
      </c>
      <c r="M54" s="19">
        <v>204151.49</v>
      </c>
      <c r="N54" s="19">
        <v>196629.7</v>
      </c>
      <c r="O54" s="38">
        <f>(G54-K54)/K54</f>
        <v>0.17060240963855422</v>
      </c>
      <c r="P54" s="18">
        <f>G54-K54</f>
        <v>35400</v>
      </c>
    </row>
    <row r="55" spans="1:16" x14ac:dyDescent="0.25">
      <c r="A55" s="1">
        <v>14130</v>
      </c>
      <c r="B55" s="1">
        <v>51300</v>
      </c>
      <c r="C55" s="1" t="s">
        <v>17</v>
      </c>
      <c r="G55" s="5">
        <v>29712</v>
      </c>
      <c r="H55" s="5">
        <v>29712</v>
      </c>
      <c r="I55" s="5">
        <v>29712</v>
      </c>
      <c r="J55" s="5">
        <f>[1]Expense!N45</f>
        <v>29712</v>
      </c>
      <c r="K55" s="5">
        <f>[1]Expense!I45</f>
        <v>29712</v>
      </c>
      <c r="L55" s="5">
        <f>[2]Expense!K43</f>
        <v>29712</v>
      </c>
      <c r="M55" s="5">
        <v>29712</v>
      </c>
      <c r="N55" s="5">
        <v>29712</v>
      </c>
      <c r="O55" s="38">
        <f t="shared" ref="O55:O101" si="10">(G55-K55)/K55</f>
        <v>0</v>
      </c>
      <c r="P55" s="18">
        <f t="shared" ref="P55:P101" si="11">G55-K55</f>
        <v>0</v>
      </c>
    </row>
    <row r="56" spans="1:16" x14ac:dyDescent="0.25">
      <c r="A56" s="1">
        <v>14130</v>
      </c>
      <c r="B56" s="1">
        <v>51400</v>
      </c>
      <c r="C56" s="1" t="s">
        <v>18</v>
      </c>
      <c r="G56" s="5">
        <v>2500</v>
      </c>
      <c r="H56" s="5">
        <v>2500</v>
      </c>
      <c r="I56" s="5">
        <v>2500</v>
      </c>
      <c r="J56" s="5">
        <f>[1]Expense!N46</f>
        <v>607.76</v>
      </c>
      <c r="K56" s="5">
        <f>[1]Expense!I46</f>
        <v>2500</v>
      </c>
      <c r="L56" s="5">
        <f>[2]Expense!K44</f>
        <v>1559.4</v>
      </c>
      <c r="M56" s="5">
        <v>1895.85</v>
      </c>
      <c r="N56" s="5">
        <v>1329.18</v>
      </c>
      <c r="O56" s="38">
        <f t="shared" si="10"/>
        <v>0</v>
      </c>
      <c r="P56" s="18">
        <f t="shared" si="11"/>
        <v>0</v>
      </c>
    </row>
    <row r="57" spans="1:16" x14ac:dyDescent="0.25">
      <c r="A57" s="1">
        <v>14130</v>
      </c>
      <c r="B57" s="1">
        <v>51500</v>
      </c>
      <c r="C57" s="1" t="s">
        <v>46</v>
      </c>
      <c r="G57" s="5">
        <v>2776</v>
      </c>
      <c r="H57" s="5">
        <v>2776</v>
      </c>
      <c r="I57" s="5">
        <v>2776</v>
      </c>
      <c r="J57" s="5">
        <f>[1]Expense!N47</f>
        <v>6410.99</v>
      </c>
      <c r="K57" s="5">
        <f>[1]Expense!I47</f>
        <v>5620</v>
      </c>
      <c r="L57" s="5">
        <f>[2]Expense!K45</f>
        <v>5638.08</v>
      </c>
      <c r="M57" s="5">
        <v>0</v>
      </c>
      <c r="N57" s="5">
        <v>0</v>
      </c>
      <c r="O57" s="38">
        <f t="shared" si="10"/>
        <v>-0.50604982206405691</v>
      </c>
      <c r="P57" s="18">
        <f t="shared" si="11"/>
        <v>-2844</v>
      </c>
    </row>
    <row r="58" spans="1:16" x14ac:dyDescent="0.25">
      <c r="A58" s="1">
        <v>14130</v>
      </c>
      <c r="B58" s="1">
        <v>51510</v>
      </c>
      <c r="C58" s="1" t="s">
        <v>20</v>
      </c>
      <c r="G58" s="5"/>
      <c r="H58" s="5"/>
      <c r="J58" s="5"/>
      <c r="M58" s="5">
        <v>2233.17</v>
      </c>
      <c r="N58" s="5">
        <v>2135.89</v>
      </c>
      <c r="O58" s="38"/>
      <c r="P58" s="18">
        <f t="shared" si="11"/>
        <v>0</v>
      </c>
    </row>
    <row r="59" spans="1:16" x14ac:dyDescent="0.25">
      <c r="A59" s="1">
        <v>14130</v>
      </c>
      <c r="B59" s="1">
        <v>51520</v>
      </c>
      <c r="C59" s="1" t="s">
        <v>21</v>
      </c>
      <c r="G59" s="5">
        <v>500</v>
      </c>
      <c r="H59" s="5">
        <v>500</v>
      </c>
      <c r="I59" s="5">
        <v>500</v>
      </c>
      <c r="J59" s="5">
        <f>[1]Expense!N48</f>
        <v>500</v>
      </c>
      <c r="K59" s="5">
        <f>[1]Expense!I48</f>
        <v>500</v>
      </c>
      <c r="L59" s="5">
        <f>[2]Expense!K46</f>
        <v>380</v>
      </c>
      <c r="M59" s="5">
        <v>960</v>
      </c>
      <c r="N59" s="5">
        <v>860</v>
      </c>
      <c r="O59" s="38">
        <f t="shared" si="10"/>
        <v>0</v>
      </c>
      <c r="P59" s="18">
        <f t="shared" si="11"/>
        <v>0</v>
      </c>
    </row>
    <row r="60" spans="1:16" x14ac:dyDescent="0.25">
      <c r="A60" s="1">
        <v>14130</v>
      </c>
      <c r="B60" s="1">
        <v>52100</v>
      </c>
      <c r="C60" s="1" t="s">
        <v>22</v>
      </c>
      <c r="G60" s="5">
        <v>33650</v>
      </c>
      <c r="H60" s="5">
        <v>33650</v>
      </c>
      <c r="I60" s="5">
        <v>33650</v>
      </c>
      <c r="J60" s="5">
        <f>[1]Expense!N49</f>
        <v>25315.15</v>
      </c>
      <c r="K60" s="5">
        <f>[1]Expense!I49</f>
        <v>27450</v>
      </c>
      <c r="L60" s="5">
        <f>[2]Expense!K47</f>
        <v>31877</v>
      </c>
      <c r="M60" s="5">
        <v>40583.51</v>
      </c>
      <c r="N60" s="5">
        <v>45036.9</v>
      </c>
      <c r="O60" s="38">
        <f t="shared" si="10"/>
        <v>0.22586520947176686</v>
      </c>
      <c r="P60" s="18">
        <f t="shared" si="11"/>
        <v>6200</v>
      </c>
    </row>
    <row r="61" spans="1:16" x14ac:dyDescent="0.25">
      <c r="A61" s="1">
        <v>14130</v>
      </c>
      <c r="B61" s="1">
        <v>52140</v>
      </c>
      <c r="C61" s="1" t="s">
        <v>23</v>
      </c>
      <c r="G61" s="5">
        <v>1169</v>
      </c>
      <c r="H61" s="5">
        <v>1169</v>
      </c>
      <c r="I61" s="5">
        <v>1169</v>
      </c>
      <c r="J61" s="5">
        <f>[1]Expense!N50</f>
        <v>328.36</v>
      </c>
      <c r="K61" s="5">
        <f>[1]Expense!I50</f>
        <v>950</v>
      </c>
      <c r="O61" s="38">
        <f t="shared" si="10"/>
        <v>0.23052631578947369</v>
      </c>
      <c r="P61" s="18">
        <f t="shared" si="11"/>
        <v>219</v>
      </c>
    </row>
    <row r="62" spans="1:16" x14ac:dyDescent="0.25">
      <c r="A62" s="1">
        <v>14130</v>
      </c>
      <c r="B62" s="1">
        <v>52200</v>
      </c>
      <c r="C62" s="1" t="s">
        <v>24</v>
      </c>
      <c r="G62" s="5">
        <v>21450</v>
      </c>
      <c r="H62" s="5">
        <v>21450</v>
      </c>
      <c r="I62" s="5">
        <v>21450</v>
      </c>
      <c r="J62" s="5">
        <f>[1]Expense!N51</f>
        <v>18775.48</v>
      </c>
      <c r="K62" s="5">
        <f>[1]Expense!I51</f>
        <v>19400</v>
      </c>
      <c r="L62" s="5">
        <f>[2]Expense!K48</f>
        <v>17543.47</v>
      </c>
      <c r="M62" s="19">
        <v>17977.02</v>
      </c>
      <c r="N62" s="19">
        <v>17479.64</v>
      </c>
      <c r="O62" s="38">
        <f t="shared" si="10"/>
        <v>0.1056701030927835</v>
      </c>
      <c r="P62" s="18">
        <f t="shared" si="11"/>
        <v>2050</v>
      </c>
    </row>
    <row r="63" spans="1:16" x14ac:dyDescent="0.25">
      <c r="A63" s="1">
        <v>14130</v>
      </c>
      <c r="B63" s="1">
        <v>52230</v>
      </c>
      <c r="C63" s="1" t="s">
        <v>47</v>
      </c>
      <c r="G63" s="5">
        <v>33900</v>
      </c>
      <c r="H63" s="5">
        <v>33900</v>
      </c>
      <c r="I63" s="5">
        <v>33900</v>
      </c>
      <c r="J63" s="5">
        <f>[1]Expense!N52</f>
        <v>29794.19</v>
      </c>
      <c r="K63" s="5">
        <f>[1]Expense!I52</f>
        <v>30850</v>
      </c>
      <c r="L63" s="5">
        <f>[2]Expense!K49</f>
        <v>28843.66</v>
      </c>
      <c r="M63" s="19">
        <v>27029.1</v>
      </c>
      <c r="N63" s="19">
        <v>22446.65</v>
      </c>
      <c r="O63" s="38">
        <f t="shared" si="10"/>
        <v>9.8865478119935166E-2</v>
      </c>
      <c r="P63" s="18">
        <f t="shared" si="11"/>
        <v>3050</v>
      </c>
    </row>
    <row r="64" spans="1:16" x14ac:dyDescent="0.25">
      <c r="A64" s="1">
        <v>14130</v>
      </c>
      <c r="B64" s="1">
        <v>52250</v>
      </c>
      <c r="C64" s="1" t="s">
        <v>26</v>
      </c>
      <c r="G64" s="19">
        <v>110</v>
      </c>
      <c r="H64" s="19">
        <v>110</v>
      </c>
      <c r="I64" s="19">
        <v>110</v>
      </c>
      <c r="J64" s="5">
        <f>[1]Expense!N53</f>
        <v>53.71</v>
      </c>
      <c r="K64" s="5">
        <f>[1]Expense!I53</f>
        <v>54</v>
      </c>
      <c r="L64" s="5">
        <f>[2]Expense!K50</f>
        <v>59.62</v>
      </c>
      <c r="M64" s="5">
        <v>97.97</v>
      </c>
      <c r="N64" s="5">
        <v>97.97</v>
      </c>
      <c r="O64" s="38">
        <f>(G64-K64)/K64</f>
        <v>1.037037037037037</v>
      </c>
      <c r="P64" s="18">
        <f t="shared" si="11"/>
        <v>56</v>
      </c>
    </row>
    <row r="65" spans="1:17" x14ac:dyDescent="0.25">
      <c r="A65" s="1">
        <v>14130</v>
      </c>
      <c r="B65" s="1">
        <v>52260</v>
      </c>
      <c r="C65" s="1" t="s">
        <v>27</v>
      </c>
      <c r="G65" s="5">
        <v>463</v>
      </c>
      <c r="H65" s="5">
        <v>463</v>
      </c>
      <c r="I65" s="5">
        <v>463</v>
      </c>
      <c r="J65" s="5">
        <f>[1]Expense!N54</f>
        <v>563.21</v>
      </c>
      <c r="K65" s="5">
        <f>[1]Expense!I54</f>
        <v>564</v>
      </c>
      <c r="L65" s="5">
        <f>[2]Expense!K51</f>
        <v>584</v>
      </c>
      <c r="M65" s="5">
        <v>427</v>
      </c>
      <c r="N65" s="5">
        <v>473</v>
      </c>
      <c r="O65" s="38">
        <f t="shared" si="10"/>
        <v>-0.17907801418439717</v>
      </c>
      <c r="P65" s="18">
        <f t="shared" si="11"/>
        <v>-101</v>
      </c>
      <c r="Q65" s="18">
        <f>SUM(P54:P65)</f>
        <v>44030</v>
      </c>
    </row>
    <row r="66" spans="1:17" x14ac:dyDescent="0.25">
      <c r="A66" s="1">
        <v>14130</v>
      </c>
      <c r="B66" s="1">
        <v>52280</v>
      </c>
      <c r="C66" s="1" t="s">
        <v>48</v>
      </c>
      <c r="G66" s="5">
        <v>2000</v>
      </c>
      <c r="H66" s="5">
        <v>2000</v>
      </c>
      <c r="I66" s="5">
        <v>2000</v>
      </c>
      <c r="J66" s="5">
        <f>[1]Expense!N55</f>
        <v>1504.88</v>
      </c>
      <c r="K66" s="5">
        <f>[1]Expense!I55</f>
        <v>1500</v>
      </c>
      <c r="L66" s="5">
        <f>[2]Expense!K52</f>
        <v>806.07</v>
      </c>
      <c r="M66" s="5">
        <v>724.66</v>
      </c>
      <c r="N66" s="5">
        <v>2421.2199999999998</v>
      </c>
      <c r="O66" s="38">
        <f t="shared" si="10"/>
        <v>0.33333333333333331</v>
      </c>
      <c r="P66" s="18">
        <f t="shared" si="11"/>
        <v>500</v>
      </c>
    </row>
    <row r="67" spans="1:17" x14ac:dyDescent="0.25">
      <c r="C67" s="1" t="s">
        <v>293</v>
      </c>
      <c r="D67" s="1">
        <v>1</v>
      </c>
      <c r="E67" s="1">
        <v>1000</v>
      </c>
      <c r="F67" s="1">
        <v>1000</v>
      </c>
      <c r="G67" s="5"/>
      <c r="H67" s="5"/>
      <c r="J67" s="5"/>
      <c r="O67" s="38"/>
      <c r="P67" s="18"/>
    </row>
    <row r="68" spans="1:17" x14ac:dyDescent="0.25">
      <c r="C68" s="1" t="s">
        <v>294</v>
      </c>
      <c r="D68" s="1">
        <v>1</v>
      </c>
      <c r="E68" s="1">
        <v>500</v>
      </c>
      <c r="F68" s="1">
        <v>500</v>
      </c>
      <c r="G68" s="5"/>
      <c r="H68" s="5"/>
      <c r="J68" s="5"/>
      <c r="O68" s="38"/>
      <c r="P68" s="18"/>
    </row>
    <row r="69" spans="1:17" x14ac:dyDescent="0.25">
      <c r="C69" s="1" t="s">
        <v>295</v>
      </c>
      <c r="D69" s="1">
        <v>1</v>
      </c>
      <c r="E69" s="1">
        <v>500</v>
      </c>
      <c r="F69" s="1">
        <v>500</v>
      </c>
      <c r="G69" s="5"/>
      <c r="H69" s="5"/>
      <c r="J69" s="5"/>
      <c r="O69" s="38"/>
      <c r="P69" s="18"/>
    </row>
    <row r="70" spans="1:17" x14ac:dyDescent="0.25">
      <c r="A70" s="1">
        <v>14130</v>
      </c>
      <c r="B70" s="1">
        <v>53010</v>
      </c>
      <c r="C70" s="1" t="s">
        <v>49</v>
      </c>
      <c r="G70" s="5">
        <v>31200</v>
      </c>
      <c r="H70" s="5">
        <v>31200</v>
      </c>
      <c r="I70" s="5">
        <v>31200</v>
      </c>
      <c r="J70" s="5">
        <f>[1]Expense!N56</f>
        <v>31770</v>
      </c>
      <c r="K70" s="5">
        <f>[1]Expense!I56</f>
        <v>35670</v>
      </c>
      <c r="L70" s="5">
        <f>[2]Expense!K53</f>
        <v>16500</v>
      </c>
      <c r="M70" s="5">
        <v>18602.7</v>
      </c>
      <c r="N70" s="5">
        <v>15900</v>
      </c>
      <c r="O70" s="38">
        <f t="shared" si="10"/>
        <v>-0.12531539108494533</v>
      </c>
      <c r="P70" s="18">
        <f t="shared" si="11"/>
        <v>-4470</v>
      </c>
    </row>
    <row r="71" spans="1:17" x14ac:dyDescent="0.25">
      <c r="C71" s="1" t="s">
        <v>296</v>
      </c>
      <c r="D71" s="1">
        <v>1</v>
      </c>
      <c r="E71" s="1">
        <v>30900</v>
      </c>
      <c r="F71" s="1">
        <v>30900</v>
      </c>
      <c r="G71" s="5"/>
      <c r="H71" s="5"/>
      <c r="J71" s="5"/>
      <c r="O71" s="38"/>
      <c r="P71" s="18"/>
    </row>
    <row r="72" spans="1:17" x14ac:dyDescent="0.25">
      <c r="C72" s="1" t="s">
        <v>297</v>
      </c>
      <c r="G72" s="5"/>
      <c r="H72" s="5"/>
      <c r="J72" s="5"/>
      <c r="O72" s="38"/>
      <c r="P72" s="18"/>
    </row>
    <row r="73" spans="1:17" x14ac:dyDescent="0.25">
      <c r="C73" s="1" t="s">
        <v>298</v>
      </c>
      <c r="D73" s="1">
        <v>1</v>
      </c>
      <c r="E73" s="1">
        <v>300</v>
      </c>
      <c r="F73" s="1">
        <v>300</v>
      </c>
      <c r="G73" s="5"/>
      <c r="H73" s="5"/>
      <c r="J73" s="5"/>
      <c r="O73" s="38"/>
      <c r="P73" s="18"/>
    </row>
    <row r="74" spans="1:17" x14ac:dyDescent="0.25">
      <c r="A74" s="1">
        <v>14130</v>
      </c>
      <c r="B74" s="1">
        <v>53200</v>
      </c>
      <c r="C74" s="1" t="s">
        <v>9</v>
      </c>
      <c r="G74" s="50">
        <v>5000</v>
      </c>
      <c r="H74" s="5">
        <v>10000</v>
      </c>
      <c r="I74" s="5">
        <v>10000</v>
      </c>
      <c r="J74" s="5">
        <f>[1]Expense!N57</f>
        <v>1553.55</v>
      </c>
      <c r="K74" s="5">
        <f>[1]Expense!I57</f>
        <v>12500</v>
      </c>
      <c r="L74" s="5">
        <f>[2]Expense!K54</f>
        <v>10076</v>
      </c>
      <c r="M74" s="5">
        <v>5041.5200000000004</v>
      </c>
      <c r="N74" s="5">
        <v>13068.5</v>
      </c>
      <c r="O74" s="38">
        <f t="shared" si="10"/>
        <v>-0.6</v>
      </c>
      <c r="P74" s="18">
        <f t="shared" si="11"/>
        <v>-7500</v>
      </c>
    </row>
    <row r="75" spans="1:17" x14ac:dyDescent="0.25">
      <c r="A75" s="1">
        <v>14130</v>
      </c>
      <c r="B75" s="1">
        <v>53410</v>
      </c>
      <c r="C75" s="1" t="s">
        <v>29</v>
      </c>
      <c r="G75" s="5">
        <v>2830</v>
      </c>
      <c r="H75" s="5">
        <v>2830</v>
      </c>
      <c r="I75" s="5">
        <v>2830</v>
      </c>
      <c r="J75" s="5">
        <f>[1]Expense!N58</f>
        <v>2507.67</v>
      </c>
      <c r="K75" s="5">
        <f>[1]Expense!I58</f>
        <v>2680</v>
      </c>
      <c r="L75" s="5">
        <f>[2]Expense!K55</f>
        <v>2211.9899999999998</v>
      </c>
      <c r="M75" s="5">
        <v>2475.71</v>
      </c>
      <c r="N75" s="5">
        <v>2545.8200000000002</v>
      </c>
      <c r="O75" s="38">
        <f t="shared" si="10"/>
        <v>5.5970149253731345E-2</v>
      </c>
      <c r="P75" s="18">
        <f t="shared" si="11"/>
        <v>150</v>
      </c>
    </row>
    <row r="76" spans="1:17" x14ac:dyDescent="0.25">
      <c r="C76" s="1" t="s">
        <v>299</v>
      </c>
      <c r="D76" s="1">
        <v>12</v>
      </c>
      <c r="E76" s="1">
        <v>85</v>
      </c>
      <c r="F76" s="1">
        <v>1020</v>
      </c>
      <c r="G76" s="5"/>
      <c r="H76" s="5"/>
      <c r="J76" s="5"/>
      <c r="O76" s="38"/>
      <c r="P76" s="18"/>
    </row>
    <row r="77" spans="1:17" x14ac:dyDescent="0.25">
      <c r="C77" s="1" t="s">
        <v>300</v>
      </c>
      <c r="D77" s="1">
        <v>52</v>
      </c>
      <c r="E77" s="1">
        <v>30</v>
      </c>
      <c r="F77" s="1">
        <v>1560</v>
      </c>
      <c r="G77" s="5"/>
      <c r="H77" s="5"/>
      <c r="J77" s="5"/>
      <c r="O77" s="38"/>
      <c r="P77" s="18"/>
    </row>
    <row r="78" spans="1:17" x14ac:dyDescent="0.25">
      <c r="C78" s="1" t="s">
        <v>301</v>
      </c>
      <c r="D78" s="1">
        <v>1</v>
      </c>
      <c r="E78" s="1">
        <v>250</v>
      </c>
      <c r="F78" s="1">
        <v>250</v>
      </c>
      <c r="G78" s="5"/>
      <c r="H78" s="5"/>
      <c r="J78" s="5"/>
      <c r="O78" s="38"/>
      <c r="P78" s="18"/>
    </row>
    <row r="79" spans="1:17" x14ac:dyDescent="0.25">
      <c r="A79" s="1">
        <v>14130</v>
      </c>
      <c r="B79" s="1">
        <v>54353</v>
      </c>
      <c r="C79" s="1" t="s">
        <v>35</v>
      </c>
      <c r="G79" s="5">
        <v>3624</v>
      </c>
      <c r="H79" s="5">
        <v>3624</v>
      </c>
      <c r="I79" s="5">
        <v>3624</v>
      </c>
      <c r="J79" s="5">
        <f>[1]Expense!N59</f>
        <v>3371.41</v>
      </c>
      <c r="K79" s="5">
        <f>[1]Expense!I59</f>
        <v>3348</v>
      </c>
      <c r="L79" s="5">
        <f>[2]Expense!K56</f>
        <v>3294.12</v>
      </c>
      <c r="M79" s="5">
        <v>2094.36</v>
      </c>
      <c r="N79" s="5">
        <v>1817.04</v>
      </c>
      <c r="O79" s="38">
        <f t="shared" si="10"/>
        <v>8.2437275985663083E-2</v>
      </c>
      <c r="P79" s="18">
        <f t="shared" si="11"/>
        <v>276</v>
      </c>
    </row>
    <row r="80" spans="1:17" x14ac:dyDescent="0.25">
      <c r="A80" s="1">
        <v>14130</v>
      </c>
      <c r="B80" s="1">
        <v>54800</v>
      </c>
      <c r="C80" s="1" t="s">
        <v>36</v>
      </c>
      <c r="G80" s="19">
        <v>38809</v>
      </c>
      <c r="H80" s="19">
        <v>38809</v>
      </c>
      <c r="I80" s="19">
        <v>38809</v>
      </c>
      <c r="J80" s="5">
        <f>[1]Expense!N60</f>
        <v>32946.199999999997</v>
      </c>
      <c r="K80" s="5">
        <f>[1]Expense!I60</f>
        <v>32947</v>
      </c>
      <c r="L80" s="5">
        <f>[2]Expense!K57</f>
        <v>29951.15</v>
      </c>
      <c r="M80" s="5">
        <v>27991.62</v>
      </c>
      <c r="N80" s="5">
        <v>26160.36</v>
      </c>
      <c r="O80" s="38">
        <f t="shared" si="10"/>
        <v>0.17792211733997026</v>
      </c>
      <c r="P80" s="18">
        <f t="shared" si="11"/>
        <v>5862</v>
      </c>
    </row>
    <row r="81" spans="1:16" x14ac:dyDescent="0.25">
      <c r="A81" s="1">
        <v>14130</v>
      </c>
      <c r="B81" s="1">
        <v>55500</v>
      </c>
      <c r="C81" s="1" t="s">
        <v>37</v>
      </c>
      <c r="G81" s="50">
        <v>0</v>
      </c>
      <c r="H81" s="5">
        <v>450</v>
      </c>
      <c r="I81" s="5">
        <v>450</v>
      </c>
      <c r="J81" s="5">
        <f>[1]Expense!N61</f>
        <v>0</v>
      </c>
      <c r="K81" s="5">
        <f>[1]Expense!I61</f>
        <v>350</v>
      </c>
      <c r="L81" s="5">
        <f>[2]Expense!K58</f>
        <v>0</v>
      </c>
      <c r="M81" s="5">
        <v>202.25</v>
      </c>
      <c r="N81" s="5">
        <v>497.16</v>
      </c>
      <c r="O81" s="38">
        <f t="shared" si="10"/>
        <v>-1</v>
      </c>
      <c r="P81" s="18">
        <f t="shared" si="11"/>
        <v>-350</v>
      </c>
    </row>
    <row r="82" spans="1:16" x14ac:dyDescent="0.25">
      <c r="C82" s="1" t="s">
        <v>302</v>
      </c>
      <c r="D82" s="1">
        <v>1</v>
      </c>
      <c r="E82" s="1">
        <v>450</v>
      </c>
      <c r="F82" s="1">
        <v>450</v>
      </c>
      <c r="G82" s="5"/>
      <c r="H82" s="5"/>
      <c r="J82" s="5"/>
      <c r="O82" s="38"/>
      <c r="P82" s="18"/>
    </row>
    <row r="83" spans="1:16" x14ac:dyDescent="0.25">
      <c r="A83" s="1">
        <v>14130</v>
      </c>
      <c r="B83" s="1">
        <v>55600</v>
      </c>
      <c r="C83" s="1" t="s">
        <v>50</v>
      </c>
      <c r="G83" s="5">
        <v>9055</v>
      </c>
      <c r="H83" s="5">
        <v>9055</v>
      </c>
      <c r="I83" s="5">
        <v>9055</v>
      </c>
      <c r="J83" s="5">
        <f>[1]Expense!N62</f>
        <v>9104</v>
      </c>
      <c r="K83" s="5">
        <f>[1]Expense!I62</f>
        <v>8476</v>
      </c>
      <c r="L83" s="5">
        <f>[2]Expense!K59</f>
        <v>6789</v>
      </c>
      <c r="M83" s="5">
        <v>1149</v>
      </c>
      <c r="N83" s="5">
        <v>6813</v>
      </c>
      <c r="O83" s="38">
        <f t="shared" si="10"/>
        <v>6.831052383199622E-2</v>
      </c>
      <c r="P83" s="18">
        <f t="shared" si="11"/>
        <v>579</v>
      </c>
    </row>
    <row r="84" spans="1:16" x14ac:dyDescent="0.25">
      <c r="C84" s="1" t="s">
        <v>303</v>
      </c>
      <c r="D84" s="1">
        <v>1</v>
      </c>
      <c r="E84" s="1">
        <v>7250</v>
      </c>
      <c r="F84" s="1">
        <v>7250</v>
      </c>
      <c r="G84" s="5"/>
      <c r="H84" s="5"/>
      <c r="J84" s="5"/>
      <c r="O84" s="38"/>
      <c r="P84" s="18"/>
    </row>
    <row r="85" spans="1:16" x14ac:dyDescent="0.25">
      <c r="C85" s="1" t="s">
        <v>304</v>
      </c>
      <c r="D85" s="1">
        <v>1</v>
      </c>
      <c r="E85" s="1">
        <v>900</v>
      </c>
      <c r="F85" s="1">
        <v>900</v>
      </c>
      <c r="G85" s="5"/>
      <c r="H85" s="5"/>
      <c r="J85" s="5"/>
      <c r="O85" s="38"/>
      <c r="P85" s="18"/>
    </row>
    <row r="86" spans="1:16" x14ac:dyDescent="0.25">
      <c r="C86" s="1" t="s">
        <v>305</v>
      </c>
      <c r="G86" s="5"/>
      <c r="H86" s="5"/>
      <c r="J86" s="5"/>
      <c r="O86" s="38"/>
      <c r="P86" s="18"/>
    </row>
    <row r="87" spans="1:16" x14ac:dyDescent="0.25">
      <c r="C87" s="1" t="s">
        <v>306</v>
      </c>
      <c r="D87" s="1">
        <v>1</v>
      </c>
      <c r="E87" s="1">
        <v>250</v>
      </c>
      <c r="F87" s="1">
        <v>250</v>
      </c>
      <c r="G87" s="5"/>
      <c r="H87" s="5"/>
      <c r="J87" s="5"/>
      <c r="O87" s="38"/>
      <c r="P87" s="18"/>
    </row>
    <row r="88" spans="1:16" x14ac:dyDescent="0.25">
      <c r="C88" s="1" t="s">
        <v>307</v>
      </c>
      <c r="G88" s="5"/>
      <c r="H88" s="5"/>
      <c r="J88" s="5"/>
      <c r="O88" s="38"/>
      <c r="P88" s="18"/>
    </row>
    <row r="89" spans="1:16" x14ac:dyDescent="0.25">
      <c r="C89" s="1" t="s">
        <v>308</v>
      </c>
      <c r="D89" s="1">
        <v>2</v>
      </c>
      <c r="E89" s="1">
        <v>15</v>
      </c>
      <c r="F89" s="1">
        <v>30</v>
      </c>
      <c r="G89" s="5"/>
      <c r="H89" s="5"/>
      <c r="J89" s="5"/>
      <c r="O89" s="38"/>
      <c r="P89" s="18"/>
    </row>
    <row r="90" spans="1:16" x14ac:dyDescent="0.25">
      <c r="C90" s="1" t="s">
        <v>309</v>
      </c>
      <c r="G90" s="5"/>
      <c r="H90" s="5"/>
      <c r="J90" s="5"/>
      <c r="O90" s="38"/>
      <c r="P90" s="18"/>
    </row>
    <row r="91" spans="1:16" x14ac:dyDescent="0.25">
      <c r="C91" s="1" t="s">
        <v>310</v>
      </c>
      <c r="D91" s="1">
        <v>1</v>
      </c>
      <c r="E91" s="1">
        <v>625</v>
      </c>
      <c r="F91" s="1">
        <v>625</v>
      </c>
      <c r="G91" s="5"/>
      <c r="H91" s="5"/>
      <c r="J91" s="5"/>
      <c r="O91" s="38"/>
      <c r="P91" s="18"/>
    </row>
    <row r="92" spans="1:16" x14ac:dyDescent="0.25">
      <c r="A92" s="1">
        <v>14130</v>
      </c>
      <c r="B92" s="1">
        <v>56105</v>
      </c>
      <c r="C92" s="1" t="s">
        <v>38</v>
      </c>
      <c r="G92" s="5">
        <v>200</v>
      </c>
      <c r="H92" s="5">
        <v>200</v>
      </c>
      <c r="I92" s="5">
        <v>200</v>
      </c>
      <c r="J92" s="5">
        <f>[1]Expense!N63</f>
        <v>153</v>
      </c>
      <c r="K92" s="5">
        <f>[1]Expense!I63</f>
        <v>300</v>
      </c>
      <c r="L92" s="5">
        <f>[2]Expense!K60</f>
        <v>440</v>
      </c>
      <c r="M92" s="19">
        <v>165.75</v>
      </c>
      <c r="N92" s="5">
        <v>51</v>
      </c>
      <c r="O92" s="38">
        <f t="shared" si="10"/>
        <v>-0.33333333333333331</v>
      </c>
      <c r="P92" s="18">
        <f t="shared" si="11"/>
        <v>-100</v>
      </c>
    </row>
    <row r="93" spans="1:16" x14ac:dyDescent="0.25">
      <c r="A93" s="1">
        <v>14130</v>
      </c>
      <c r="B93" s="1">
        <v>56106</v>
      </c>
      <c r="C93" s="1" t="s">
        <v>51</v>
      </c>
      <c r="G93" s="49">
        <v>2000</v>
      </c>
      <c r="H93" s="5">
        <v>2500</v>
      </c>
      <c r="I93" s="5">
        <v>2500</v>
      </c>
      <c r="J93" s="5">
        <f>[1]Expense!N64</f>
        <v>2000</v>
      </c>
      <c r="K93" s="5">
        <f>[1]Expense!I64</f>
        <v>2000</v>
      </c>
      <c r="L93" s="5">
        <f>[2]Expense!K61</f>
        <v>2000</v>
      </c>
      <c r="M93" s="5">
        <v>2437.5</v>
      </c>
      <c r="N93" s="5">
        <v>7500</v>
      </c>
      <c r="O93" s="38">
        <f t="shared" si="10"/>
        <v>0</v>
      </c>
      <c r="P93" s="18">
        <f t="shared" si="11"/>
        <v>0</v>
      </c>
    </row>
    <row r="94" spans="1:16" x14ac:dyDescent="0.25">
      <c r="A94" s="1">
        <v>14130</v>
      </c>
      <c r="B94" s="1">
        <v>56110</v>
      </c>
      <c r="C94" s="1" t="s">
        <v>39</v>
      </c>
      <c r="G94" s="5">
        <f>SUM(E95:E97)</f>
        <v>3000</v>
      </c>
      <c r="H94" s="5">
        <f>SUM(E95:E97)</f>
        <v>3000</v>
      </c>
      <c r="I94" s="5">
        <f>SUM(F95:F97)</f>
        <v>3000</v>
      </c>
      <c r="J94" s="5">
        <f>[1]Expense!N65</f>
        <v>1815.25</v>
      </c>
      <c r="K94" s="5">
        <f>[1]Expense!I65</f>
        <v>3900</v>
      </c>
      <c r="L94" s="5">
        <f>[2]Expense!K62</f>
        <v>2738.19</v>
      </c>
      <c r="M94" s="5">
        <v>2701.72</v>
      </c>
      <c r="N94" s="5">
        <v>10756.2</v>
      </c>
      <c r="O94" s="38">
        <f t="shared" si="10"/>
        <v>-0.23076923076923078</v>
      </c>
      <c r="P94" s="18">
        <f t="shared" si="11"/>
        <v>-900</v>
      </c>
    </row>
    <row r="95" spans="1:16" x14ac:dyDescent="0.25">
      <c r="C95" s="1" t="s">
        <v>311</v>
      </c>
      <c r="D95" s="1">
        <v>1</v>
      </c>
      <c r="E95" s="1">
        <v>400</v>
      </c>
      <c r="F95" s="1">
        <v>400</v>
      </c>
      <c r="G95" s="5"/>
      <c r="H95" s="5"/>
      <c r="J95" s="5"/>
      <c r="O95" s="38"/>
      <c r="P95" s="18"/>
    </row>
    <row r="96" spans="1:16" x14ac:dyDescent="0.25">
      <c r="C96" s="1" t="s">
        <v>312</v>
      </c>
      <c r="D96" s="1">
        <v>1</v>
      </c>
      <c r="E96" s="1">
        <v>750</v>
      </c>
      <c r="F96" s="1">
        <v>750</v>
      </c>
      <c r="G96" s="5"/>
      <c r="H96" s="5"/>
      <c r="J96" s="5"/>
      <c r="O96" s="38"/>
      <c r="P96" s="18"/>
    </row>
    <row r="97" spans="1:16" x14ac:dyDescent="0.25">
      <c r="C97" s="1" t="s">
        <v>660</v>
      </c>
      <c r="D97" s="1">
        <v>1</v>
      </c>
      <c r="E97" s="1">
        <v>1850</v>
      </c>
      <c r="F97" s="1">
        <v>1850</v>
      </c>
      <c r="G97" s="5"/>
      <c r="H97" s="5"/>
      <c r="J97" s="5"/>
      <c r="O97" s="38"/>
      <c r="P97" s="18"/>
    </row>
    <row r="98" spans="1:16" x14ac:dyDescent="0.25">
      <c r="A98" s="1">
        <v>14130</v>
      </c>
      <c r="B98" s="1">
        <v>56130</v>
      </c>
      <c r="C98" s="1" t="s">
        <v>11</v>
      </c>
      <c r="G98" s="5">
        <v>500</v>
      </c>
      <c r="H98" s="5">
        <v>500</v>
      </c>
      <c r="I98" s="5">
        <v>500</v>
      </c>
      <c r="J98" s="5">
        <f>[1]Expense!N66</f>
        <v>2397.63</v>
      </c>
      <c r="K98" s="5">
        <f>[1]Expense!I66</f>
        <v>500</v>
      </c>
      <c r="L98" s="5">
        <f>[2]Expense!K63</f>
        <v>377.2</v>
      </c>
      <c r="M98" s="5">
        <v>231.16</v>
      </c>
      <c r="N98" s="5">
        <v>16.68</v>
      </c>
      <c r="O98" s="38">
        <f t="shared" si="10"/>
        <v>0</v>
      </c>
      <c r="P98" s="18">
        <f t="shared" si="11"/>
        <v>0</v>
      </c>
    </row>
    <row r="99" spans="1:16" x14ac:dyDescent="0.25">
      <c r="A99" s="1">
        <v>14130</v>
      </c>
      <c r="B99" s="1">
        <v>56200</v>
      </c>
      <c r="C99" s="1" t="s">
        <v>40</v>
      </c>
      <c r="G99" s="5">
        <v>800</v>
      </c>
      <c r="H99" s="5">
        <v>800</v>
      </c>
      <c r="I99" s="5">
        <v>800</v>
      </c>
      <c r="J99" s="5">
        <f>[1]Expense!N67</f>
        <v>827.85</v>
      </c>
      <c r="K99" s="5">
        <f>[1]Expense!I67</f>
        <v>500</v>
      </c>
      <c r="L99" s="5">
        <f>[2]Expense!K64</f>
        <v>650.42999999999995</v>
      </c>
      <c r="M99" s="5">
        <v>462.41</v>
      </c>
      <c r="N99" s="5">
        <v>619.82000000000005</v>
      </c>
      <c r="O99" s="38">
        <f>(G99-K99)/K99</f>
        <v>0.6</v>
      </c>
      <c r="P99" s="18">
        <f t="shared" si="11"/>
        <v>300</v>
      </c>
    </row>
    <row r="100" spans="1:16" x14ac:dyDescent="0.25">
      <c r="A100" s="1">
        <v>14130</v>
      </c>
      <c r="B100" s="1">
        <v>56250</v>
      </c>
      <c r="C100" s="1" t="s">
        <v>41</v>
      </c>
      <c r="G100" s="5">
        <v>1000</v>
      </c>
      <c r="H100" s="5">
        <v>1000</v>
      </c>
      <c r="I100" s="5">
        <v>1000</v>
      </c>
      <c r="J100" s="1">
        <v>1010</v>
      </c>
      <c r="K100" s="5">
        <v>900</v>
      </c>
      <c r="L100" s="5">
        <f>[2]Expense!K65</f>
        <v>1019.02</v>
      </c>
      <c r="M100" s="5">
        <v>904.38</v>
      </c>
      <c r="N100" s="5">
        <v>828.66</v>
      </c>
      <c r="O100" s="38">
        <f t="shared" si="10"/>
        <v>0.1111111111111111</v>
      </c>
      <c r="P100" s="18">
        <f t="shared" si="11"/>
        <v>100</v>
      </c>
    </row>
    <row r="101" spans="1:16" s="8" customFormat="1" x14ac:dyDescent="0.25">
      <c r="A101" s="8" t="s">
        <v>12</v>
      </c>
      <c r="B101" s="8" t="s">
        <v>52</v>
      </c>
      <c r="G101" s="21">
        <f>SUM(G54:G100)</f>
        <v>469148</v>
      </c>
      <c r="H101" s="21">
        <f t="shared" ref="H101:N101" si="12">SUM(H54:H100)</f>
        <v>475098</v>
      </c>
      <c r="I101" s="9">
        <f t="shared" si="12"/>
        <v>475098</v>
      </c>
      <c r="J101" s="9">
        <f>[1]Expense!$J$69</f>
        <v>415446.72</v>
      </c>
      <c r="K101" s="9">
        <f>SUM(K54:K100)</f>
        <v>430671</v>
      </c>
      <c r="L101" s="9">
        <f t="shared" si="12"/>
        <v>395641.00999999995</v>
      </c>
      <c r="M101" s="21">
        <f t="shared" si="12"/>
        <v>390251.84999999992</v>
      </c>
      <c r="N101" s="21">
        <f t="shared" si="12"/>
        <v>405196.38999999996</v>
      </c>
      <c r="O101" s="39">
        <f t="shared" si="10"/>
        <v>8.9341980305151725E-2</v>
      </c>
      <c r="P101" s="40">
        <f t="shared" si="11"/>
        <v>38477</v>
      </c>
    </row>
    <row r="102" spans="1:16" x14ac:dyDescent="0.25">
      <c r="G102" s="19"/>
      <c r="J102" s="8"/>
      <c r="K102" s="9"/>
      <c r="L102" s="9"/>
      <c r="O102" s="38"/>
      <c r="P102" s="18"/>
    </row>
    <row r="103" spans="1:16" s="8" customFormat="1" x14ac:dyDescent="0.25">
      <c r="G103" s="21"/>
      <c r="H103" s="21"/>
      <c r="I103" s="9"/>
      <c r="J103" s="1"/>
      <c r="K103" s="9"/>
      <c r="L103" s="5"/>
      <c r="M103" s="9"/>
      <c r="N103" s="9"/>
      <c r="O103" s="38"/>
      <c r="P103" s="18"/>
    </row>
    <row r="104" spans="1:16" s="8" customFormat="1" x14ac:dyDescent="0.25">
      <c r="A104" s="8">
        <v>14135</v>
      </c>
      <c r="B104" s="8" t="s">
        <v>53</v>
      </c>
      <c r="G104" s="21"/>
      <c r="H104" s="21"/>
      <c r="I104" s="9"/>
      <c r="J104" s="5"/>
      <c r="K104" s="5"/>
      <c r="L104" s="5"/>
      <c r="M104" s="9"/>
      <c r="N104" s="9"/>
      <c r="O104" s="38"/>
      <c r="P104" s="18"/>
    </row>
    <row r="105" spans="1:16" s="8" customFormat="1" x14ac:dyDescent="0.25">
      <c r="A105" s="1">
        <v>14135</v>
      </c>
      <c r="B105" s="1">
        <v>51100</v>
      </c>
      <c r="C105" s="1" t="s">
        <v>15</v>
      </c>
      <c r="D105" s="1"/>
      <c r="E105" s="1"/>
      <c r="F105" s="1"/>
      <c r="G105" s="5">
        <f>SUM(F106:F107)</f>
        <v>32179</v>
      </c>
      <c r="H105" s="5">
        <f>SUM(F106:F107)</f>
        <v>32179</v>
      </c>
      <c r="I105" s="5">
        <v>32179</v>
      </c>
      <c r="J105" s="5">
        <f>[1]Expense!N72</f>
        <v>30891</v>
      </c>
      <c r="K105" s="5">
        <f>[1]Expense!I72</f>
        <v>37001</v>
      </c>
      <c r="L105" s="5"/>
      <c r="M105" s="9"/>
      <c r="N105" s="9"/>
      <c r="O105" s="38">
        <f>(G105-K105)/K105</f>
        <v>-0.13032080214048269</v>
      </c>
      <c r="P105" s="18">
        <f t="shared" ref="P105:P112" si="13">G105-K105</f>
        <v>-4822</v>
      </c>
    </row>
    <row r="106" spans="1:16" s="8" customFormat="1" x14ac:dyDescent="0.25">
      <c r="A106" s="1"/>
      <c r="B106" s="1"/>
      <c r="C106" s="1" t="s">
        <v>670</v>
      </c>
      <c r="D106" s="1"/>
      <c r="E106" s="1"/>
      <c r="F106" s="18">
        <v>55405</v>
      </c>
      <c r="G106" s="5"/>
      <c r="H106" s="5"/>
      <c r="I106" s="5"/>
      <c r="J106" s="5"/>
      <c r="K106" s="5"/>
      <c r="L106" s="5"/>
      <c r="M106" s="9"/>
      <c r="N106" s="9"/>
      <c r="O106" s="38"/>
      <c r="P106" s="18">
        <f t="shared" si="13"/>
        <v>0</v>
      </c>
    </row>
    <row r="107" spans="1:16" s="8" customFormat="1" x14ac:dyDescent="0.25">
      <c r="A107" s="1"/>
      <c r="B107" s="1"/>
      <c r="C107" s="1" t="s">
        <v>669</v>
      </c>
      <c r="D107" s="1"/>
      <c r="E107" s="1"/>
      <c r="F107" s="1">
        <v>-23226</v>
      </c>
      <c r="G107" s="5"/>
      <c r="H107" s="5"/>
      <c r="I107" s="5"/>
      <c r="J107" s="5"/>
      <c r="K107" s="5"/>
      <c r="L107" s="5"/>
      <c r="M107" s="9"/>
      <c r="N107" s="9"/>
      <c r="O107" s="38"/>
      <c r="P107" s="18">
        <f t="shared" si="13"/>
        <v>0</v>
      </c>
    </row>
    <row r="108" spans="1:16" s="8" customFormat="1" x14ac:dyDescent="0.25">
      <c r="A108" s="1">
        <v>14135</v>
      </c>
      <c r="B108" s="1">
        <v>51500</v>
      </c>
      <c r="C108" s="1" t="s">
        <v>214</v>
      </c>
      <c r="D108" s="1"/>
      <c r="E108" s="1"/>
      <c r="F108" s="1"/>
      <c r="G108" s="5">
        <f>SUM(F109:F110)</f>
        <v>2700</v>
      </c>
      <c r="H108" s="5">
        <f>SUM(F109:F110)</f>
        <v>2700</v>
      </c>
      <c r="I108" s="5">
        <f>SUM(F109:F110)</f>
        <v>2700</v>
      </c>
      <c r="J108" s="5">
        <f>[1]Expense!N73</f>
        <v>615</v>
      </c>
      <c r="K108" s="5">
        <f>[1]Expense!I73</f>
        <v>0</v>
      </c>
      <c r="L108" s="5"/>
      <c r="M108" s="9"/>
      <c r="N108" s="9"/>
      <c r="O108" s="38" t="e">
        <f>(G108-K108)/K108</f>
        <v>#DIV/0!</v>
      </c>
      <c r="P108" s="18">
        <f t="shared" si="13"/>
        <v>2700</v>
      </c>
    </row>
    <row r="109" spans="1:16" s="8" customFormat="1" x14ac:dyDescent="0.25">
      <c r="A109" s="1"/>
      <c r="B109" s="1"/>
      <c r="C109" s="1" t="s">
        <v>671</v>
      </c>
      <c r="D109" s="1"/>
      <c r="E109" s="1"/>
      <c r="F109" s="1">
        <v>4500</v>
      </c>
      <c r="G109" s="5"/>
      <c r="H109" s="5"/>
      <c r="I109" s="5"/>
      <c r="J109" s="5"/>
      <c r="K109" s="5"/>
      <c r="L109" s="5"/>
      <c r="M109" s="9"/>
      <c r="N109" s="9"/>
      <c r="O109" s="38"/>
      <c r="P109" s="18">
        <f t="shared" si="13"/>
        <v>0</v>
      </c>
    </row>
    <row r="110" spans="1:16" s="8" customFormat="1" x14ac:dyDescent="0.25">
      <c r="A110" s="1"/>
      <c r="B110" s="1"/>
      <c r="C110" s="1" t="s">
        <v>669</v>
      </c>
      <c r="D110" s="1"/>
      <c r="E110" s="1"/>
      <c r="F110" s="1">
        <v>-1800</v>
      </c>
      <c r="G110" s="5"/>
      <c r="H110" s="5"/>
      <c r="I110" s="5"/>
      <c r="J110" s="5"/>
      <c r="K110" s="5"/>
      <c r="L110" s="5"/>
      <c r="M110" s="9"/>
      <c r="N110" s="9"/>
      <c r="O110" s="38"/>
      <c r="P110" s="18">
        <f t="shared" si="13"/>
        <v>0</v>
      </c>
    </row>
    <row r="111" spans="1:16" s="8" customFormat="1" x14ac:dyDescent="0.25">
      <c r="A111" s="1">
        <v>14135</v>
      </c>
      <c r="B111" s="1">
        <v>52100</v>
      </c>
      <c r="C111" s="1" t="s">
        <v>22</v>
      </c>
      <c r="D111" s="1"/>
      <c r="E111" s="1"/>
      <c r="F111" s="1"/>
      <c r="G111" s="5"/>
      <c r="H111" s="5"/>
      <c r="I111" s="5"/>
      <c r="J111" s="5">
        <f>[1]Expense!N74</f>
        <v>0</v>
      </c>
      <c r="K111" s="5">
        <f>[1]Expense!I74</f>
        <v>24330</v>
      </c>
      <c r="L111" s="5"/>
      <c r="M111" s="9"/>
      <c r="N111" s="9"/>
      <c r="O111" s="38">
        <f>(G111-K111)/K111</f>
        <v>-1</v>
      </c>
      <c r="P111" s="18">
        <f t="shared" si="13"/>
        <v>-24330</v>
      </c>
    </row>
    <row r="112" spans="1:16" s="8" customFormat="1" x14ac:dyDescent="0.25">
      <c r="A112" s="1">
        <v>14135</v>
      </c>
      <c r="B112" s="1">
        <v>52200</v>
      </c>
      <c r="C112" s="1" t="s">
        <v>54</v>
      </c>
      <c r="D112" s="1"/>
      <c r="E112" s="1"/>
      <c r="F112" s="1"/>
      <c r="G112" s="5">
        <v>2549</v>
      </c>
      <c r="H112" s="5">
        <v>2550</v>
      </c>
      <c r="I112" s="5">
        <v>2550</v>
      </c>
      <c r="J112" s="5">
        <f>[1]Expense!N75</f>
        <v>2410</v>
      </c>
      <c r="K112" s="5">
        <f>[1]Expense!I75</f>
        <v>2850</v>
      </c>
      <c r="L112" s="5"/>
      <c r="M112" s="9"/>
      <c r="N112" s="9"/>
      <c r="O112" s="38">
        <f>(G112-K112)/K112</f>
        <v>-0.1056140350877193</v>
      </c>
      <c r="P112" s="18">
        <f t="shared" si="13"/>
        <v>-301</v>
      </c>
    </row>
    <row r="113" spans="1:17" s="8" customFormat="1" x14ac:dyDescent="0.25">
      <c r="A113" s="1"/>
      <c r="B113" s="1"/>
      <c r="C113" s="1" t="s">
        <v>671</v>
      </c>
      <c r="D113" s="1"/>
      <c r="E113" s="1"/>
      <c r="F113" s="1">
        <v>4327</v>
      </c>
      <c r="G113" s="5"/>
      <c r="H113" s="5"/>
      <c r="I113" s="5"/>
      <c r="J113" s="5"/>
      <c r="K113" s="5"/>
      <c r="L113" s="5"/>
      <c r="M113" s="9"/>
      <c r="N113" s="9"/>
      <c r="O113" s="38"/>
      <c r="P113" s="18"/>
    </row>
    <row r="114" spans="1:17" s="8" customFormat="1" x14ac:dyDescent="0.25">
      <c r="A114" s="1"/>
      <c r="B114" s="1"/>
      <c r="C114" s="1" t="s">
        <v>669</v>
      </c>
      <c r="D114" s="1"/>
      <c r="E114" s="1"/>
      <c r="F114" s="1">
        <v>-1777</v>
      </c>
      <c r="G114" s="5"/>
      <c r="H114" s="5"/>
      <c r="I114" s="5"/>
      <c r="J114" s="5"/>
      <c r="K114" s="5"/>
      <c r="L114" s="5"/>
      <c r="M114" s="9"/>
      <c r="N114" s="9"/>
      <c r="O114" s="38"/>
      <c r="P114" s="18"/>
    </row>
    <row r="115" spans="1:17" s="8" customFormat="1" x14ac:dyDescent="0.25">
      <c r="A115" s="1">
        <v>14135</v>
      </c>
      <c r="B115" s="1">
        <v>52230</v>
      </c>
      <c r="C115" s="1" t="s">
        <v>25</v>
      </c>
      <c r="D115" s="1"/>
      <c r="E115" s="1"/>
      <c r="F115" s="1"/>
      <c r="G115" s="5">
        <f>SUM(F116:F117)</f>
        <v>4550</v>
      </c>
      <c r="H115" s="5">
        <f>SUM(F116:F117)</f>
        <v>4550</v>
      </c>
      <c r="I115" s="5">
        <v>4550</v>
      </c>
      <c r="J115" s="5">
        <f>[1]Expense!N76</f>
        <v>4287</v>
      </c>
      <c r="K115" s="5">
        <f>[1]Expense!I76</f>
        <v>5100</v>
      </c>
      <c r="L115" s="5"/>
      <c r="M115" s="9"/>
      <c r="N115" s="9"/>
      <c r="O115" s="38">
        <f>(G115-K115)/K115</f>
        <v>-0.10784313725490197</v>
      </c>
      <c r="P115" s="18">
        <f t="shared" ref="P115:P131" si="14">G115-K115</f>
        <v>-550</v>
      </c>
      <c r="Q115" s="18">
        <f>SUM(P105:P115)</f>
        <v>-27303</v>
      </c>
    </row>
    <row r="116" spans="1:17" s="8" customFormat="1" x14ac:dyDescent="0.25">
      <c r="A116" s="1"/>
      <c r="B116" s="1"/>
      <c r="C116" s="1" t="s">
        <v>671</v>
      </c>
      <c r="D116" s="1"/>
      <c r="E116" s="1"/>
      <c r="F116" s="1">
        <v>7693</v>
      </c>
      <c r="G116" s="5"/>
      <c r="H116" s="5"/>
      <c r="I116" s="5"/>
      <c r="J116" s="5"/>
      <c r="K116" s="5"/>
      <c r="L116" s="5"/>
      <c r="M116" s="9"/>
      <c r="N116" s="9"/>
      <c r="O116" s="38"/>
      <c r="P116" s="18">
        <f t="shared" si="14"/>
        <v>0</v>
      </c>
    </row>
    <row r="117" spans="1:17" s="8" customFormat="1" x14ac:dyDescent="0.25">
      <c r="A117" s="1"/>
      <c r="B117" s="1"/>
      <c r="C117" s="1" t="s">
        <v>669</v>
      </c>
      <c r="D117" s="1"/>
      <c r="E117" s="1"/>
      <c r="F117" s="1">
        <v>-3143</v>
      </c>
      <c r="G117" s="5"/>
      <c r="H117" s="5"/>
      <c r="I117" s="5"/>
      <c r="J117" s="5"/>
      <c r="K117" s="5"/>
      <c r="L117" s="5"/>
      <c r="M117" s="9"/>
      <c r="N117" s="9"/>
      <c r="O117" s="38"/>
      <c r="P117" s="18">
        <f t="shared" si="14"/>
        <v>0</v>
      </c>
    </row>
    <row r="118" spans="1:17" s="8" customFormat="1" x14ac:dyDescent="0.25">
      <c r="A118" s="1">
        <v>14135</v>
      </c>
      <c r="B118" s="1">
        <v>53410</v>
      </c>
      <c r="C118" s="1" t="s">
        <v>215</v>
      </c>
      <c r="D118" s="1"/>
      <c r="E118" s="1"/>
      <c r="F118" s="1"/>
      <c r="G118" s="5">
        <f>SUM(F119:F120)</f>
        <v>468</v>
      </c>
      <c r="H118" s="5">
        <f>SUM(F119:F120)</f>
        <v>468</v>
      </c>
      <c r="I118" s="5">
        <v>468</v>
      </c>
      <c r="J118" s="5">
        <f>[1]Expense!N77</f>
        <v>480</v>
      </c>
      <c r="K118" s="5">
        <f>[1]Expense!I77</f>
        <v>0</v>
      </c>
      <c r="L118" s="5"/>
      <c r="M118" s="9"/>
      <c r="N118" s="9"/>
      <c r="O118" s="38"/>
      <c r="P118" s="18">
        <f t="shared" si="14"/>
        <v>468</v>
      </c>
    </row>
    <row r="119" spans="1:17" s="8" customFormat="1" x14ac:dyDescent="0.25">
      <c r="A119" s="1"/>
      <c r="B119" s="1"/>
      <c r="C119" s="1" t="s">
        <v>671</v>
      </c>
      <c r="D119" s="1"/>
      <c r="E119" s="1"/>
      <c r="F119" s="1">
        <v>780</v>
      </c>
      <c r="G119" s="5"/>
      <c r="H119" s="5"/>
      <c r="I119" s="5"/>
      <c r="J119" s="5"/>
      <c r="K119" s="5"/>
      <c r="L119" s="5"/>
      <c r="M119" s="9"/>
      <c r="N119" s="9"/>
      <c r="O119" s="38"/>
      <c r="P119" s="18">
        <f t="shared" si="14"/>
        <v>0</v>
      </c>
    </row>
    <row r="120" spans="1:17" s="8" customFormat="1" x14ac:dyDescent="0.25">
      <c r="A120" s="1"/>
      <c r="B120" s="1"/>
      <c r="C120" s="1" t="s">
        <v>669</v>
      </c>
      <c r="D120" s="1"/>
      <c r="E120" s="1"/>
      <c r="F120" s="1">
        <v>-312</v>
      </c>
      <c r="G120" s="5"/>
      <c r="H120" s="5"/>
      <c r="I120" s="5"/>
      <c r="J120" s="5"/>
      <c r="K120" s="5"/>
      <c r="L120" s="5"/>
      <c r="M120" s="9"/>
      <c r="N120" s="9"/>
      <c r="O120" s="38"/>
      <c r="P120" s="18">
        <f t="shared" si="14"/>
        <v>0</v>
      </c>
    </row>
    <row r="121" spans="1:17" x14ac:dyDescent="0.25">
      <c r="A121" s="1">
        <v>14135</v>
      </c>
      <c r="B121" s="1">
        <v>53420</v>
      </c>
      <c r="C121" s="1" t="s">
        <v>55</v>
      </c>
      <c r="G121" s="5">
        <v>85438</v>
      </c>
      <c r="H121" s="5">
        <v>85438</v>
      </c>
      <c r="I121" s="5">
        <v>85438</v>
      </c>
      <c r="J121" s="5">
        <f>[1]Expense!N78</f>
        <v>80980</v>
      </c>
      <c r="K121" s="5">
        <f>[1]Expense!I78</f>
        <v>67185</v>
      </c>
      <c r="L121" s="5">
        <f>[2]Expense!K69</f>
        <v>78430.679999999993</v>
      </c>
      <c r="M121" s="5">
        <v>79544.2</v>
      </c>
      <c r="N121" s="5">
        <v>81335.509999999995</v>
      </c>
      <c r="O121" s="38">
        <f>(G121-K121)/K121</f>
        <v>0.27168266726203766</v>
      </c>
      <c r="P121" s="18">
        <f t="shared" si="14"/>
        <v>18253</v>
      </c>
    </row>
    <row r="122" spans="1:17" x14ac:dyDescent="0.25">
      <c r="A122" s="1">
        <v>14135</v>
      </c>
      <c r="B122" s="1">
        <v>53425</v>
      </c>
      <c r="C122" s="1" t="s">
        <v>31</v>
      </c>
      <c r="G122" s="19">
        <v>2454</v>
      </c>
      <c r="H122" s="19">
        <v>2454</v>
      </c>
      <c r="I122" s="19">
        <v>2454</v>
      </c>
      <c r="J122" s="5">
        <f>[1]Expense!N79</f>
        <v>3022</v>
      </c>
      <c r="K122" s="5">
        <f>[1]Expense!I79</f>
        <v>70387</v>
      </c>
      <c r="L122" s="5">
        <f>[2]Expense!K70</f>
        <v>61916.72</v>
      </c>
      <c r="M122" s="5">
        <v>39679.54</v>
      </c>
      <c r="N122" s="5">
        <v>39169.46</v>
      </c>
      <c r="O122" s="38">
        <f>(G122-K122)/K122</f>
        <v>-0.96513560742750792</v>
      </c>
      <c r="P122" s="18">
        <f t="shared" si="14"/>
        <v>-67933</v>
      </c>
    </row>
    <row r="123" spans="1:17" x14ac:dyDescent="0.25">
      <c r="C123" s="1" t="s">
        <v>313</v>
      </c>
      <c r="D123" s="1">
        <v>3</v>
      </c>
      <c r="E123" s="1">
        <v>150</v>
      </c>
      <c r="F123" s="1">
        <v>450</v>
      </c>
      <c r="G123" s="19"/>
      <c r="I123" s="19"/>
      <c r="J123" s="5"/>
      <c r="O123" s="38"/>
      <c r="P123" s="18">
        <f t="shared" si="14"/>
        <v>0</v>
      </c>
    </row>
    <row r="124" spans="1:17" x14ac:dyDescent="0.25">
      <c r="C124" s="1" t="s">
        <v>314</v>
      </c>
      <c r="D124" s="1">
        <v>1</v>
      </c>
      <c r="E124" s="1">
        <v>1534</v>
      </c>
      <c r="F124" s="1">
        <v>1534</v>
      </c>
      <c r="G124" s="19"/>
      <c r="I124" s="19"/>
      <c r="J124" s="5"/>
      <c r="O124" s="38"/>
      <c r="P124" s="18">
        <f t="shared" si="14"/>
        <v>0</v>
      </c>
    </row>
    <row r="125" spans="1:17" x14ac:dyDescent="0.25">
      <c r="C125" s="1" t="s">
        <v>315</v>
      </c>
      <c r="D125" s="1">
        <v>1</v>
      </c>
      <c r="E125" s="1">
        <v>470</v>
      </c>
      <c r="F125" s="1">
        <v>470</v>
      </c>
      <c r="G125" s="19"/>
      <c r="I125" s="19"/>
      <c r="J125" s="5"/>
      <c r="O125" s="38"/>
      <c r="P125" s="18">
        <f t="shared" si="14"/>
        <v>0</v>
      </c>
    </row>
    <row r="126" spans="1:17" x14ac:dyDescent="0.25">
      <c r="A126" s="1">
        <v>14135</v>
      </c>
      <c r="B126" s="1">
        <v>53426</v>
      </c>
      <c r="C126" s="1" t="s">
        <v>216</v>
      </c>
      <c r="G126" s="19">
        <v>33223</v>
      </c>
      <c r="H126" s="19">
        <v>33223</v>
      </c>
      <c r="I126" s="19">
        <v>33223</v>
      </c>
      <c r="J126" s="5">
        <f>[1]Expense!N80</f>
        <v>31631.11</v>
      </c>
      <c r="K126" s="5">
        <f>[1]Expense!I80</f>
        <v>0</v>
      </c>
      <c r="O126" s="38"/>
      <c r="P126" s="18">
        <f t="shared" si="14"/>
        <v>33223</v>
      </c>
    </row>
    <row r="127" spans="1:17" x14ac:dyDescent="0.25">
      <c r="A127" s="1">
        <v>14135</v>
      </c>
      <c r="B127" s="1">
        <v>53427</v>
      </c>
      <c r="C127" s="1" t="s">
        <v>217</v>
      </c>
      <c r="G127" s="19">
        <v>12890</v>
      </c>
      <c r="H127" s="19">
        <v>12890</v>
      </c>
      <c r="I127" s="19">
        <v>12890</v>
      </c>
      <c r="J127" s="5">
        <f>[1]Expense!N81</f>
        <v>12240</v>
      </c>
      <c r="K127" s="5">
        <f>[1]Expense!I81</f>
        <v>0</v>
      </c>
      <c r="O127" s="38"/>
      <c r="P127" s="18">
        <f t="shared" si="14"/>
        <v>12890</v>
      </c>
    </row>
    <row r="128" spans="1:17" x14ac:dyDescent="0.25">
      <c r="A128" s="1">
        <v>14135</v>
      </c>
      <c r="B128" s="1">
        <v>53428</v>
      </c>
      <c r="C128" s="1" t="s">
        <v>218</v>
      </c>
      <c r="G128" s="19">
        <v>28800</v>
      </c>
      <c r="H128" s="19">
        <v>28800</v>
      </c>
      <c r="I128" s="19">
        <v>28800</v>
      </c>
      <c r="J128" s="5">
        <f>[1]Expense!N82</f>
        <v>29132</v>
      </c>
      <c r="K128" s="5">
        <f>[1]Expense!I82</f>
        <v>0</v>
      </c>
      <c r="O128" s="38"/>
      <c r="P128" s="18">
        <f t="shared" si="14"/>
        <v>28800</v>
      </c>
    </row>
    <row r="129" spans="1:16" x14ac:dyDescent="0.25">
      <c r="A129" s="1">
        <v>14135</v>
      </c>
      <c r="B129" s="1">
        <v>53429</v>
      </c>
      <c r="C129" s="1" t="s">
        <v>219</v>
      </c>
      <c r="G129" s="19">
        <v>3744</v>
      </c>
      <c r="H129" s="19">
        <v>3744</v>
      </c>
      <c r="I129" s="19">
        <v>3744</v>
      </c>
      <c r="J129" s="5">
        <f>[1]Expense!N83</f>
        <v>5603</v>
      </c>
      <c r="K129" s="5">
        <f>[1]Expense!I83</f>
        <v>0</v>
      </c>
      <c r="O129" s="38"/>
      <c r="P129" s="18">
        <f t="shared" si="14"/>
        <v>3744</v>
      </c>
    </row>
    <row r="130" spans="1:16" x14ac:dyDescent="0.25">
      <c r="A130" s="1">
        <v>14135</v>
      </c>
      <c r="B130" s="1">
        <v>53430</v>
      </c>
      <c r="C130" s="1" t="s">
        <v>220</v>
      </c>
      <c r="G130" s="19">
        <v>4080</v>
      </c>
      <c r="H130" s="19">
        <v>4080</v>
      </c>
      <c r="I130" s="19">
        <v>4080</v>
      </c>
      <c r="J130" s="5">
        <f>[1]Expense!N84</f>
        <v>4049.98</v>
      </c>
      <c r="K130" s="5">
        <f>[1]Expense!I84</f>
        <v>0</v>
      </c>
      <c r="O130" s="38"/>
      <c r="P130" s="18">
        <f t="shared" si="14"/>
        <v>4080</v>
      </c>
    </row>
    <row r="131" spans="1:16" x14ac:dyDescent="0.25">
      <c r="A131" s="1">
        <v>14135</v>
      </c>
      <c r="B131" s="1">
        <v>53435</v>
      </c>
      <c r="C131" s="1" t="s">
        <v>56</v>
      </c>
      <c r="G131" s="53">
        <f>SUM(F132:F134)</f>
        <v>40200</v>
      </c>
      <c r="H131" s="19">
        <v>49200</v>
      </c>
      <c r="I131" s="19">
        <v>49200</v>
      </c>
      <c r="J131" s="5">
        <f>[1]Expense!N85</f>
        <v>16709</v>
      </c>
      <c r="K131" s="5">
        <f>[1]Expense!I85</f>
        <v>22500</v>
      </c>
      <c r="L131" s="5">
        <f>[2]Expense!K71</f>
        <v>1702</v>
      </c>
      <c r="M131" s="5">
        <v>9986.08</v>
      </c>
      <c r="N131" s="5">
        <v>12755.02</v>
      </c>
      <c r="O131" s="38">
        <f>(G131-K131)/K131</f>
        <v>0.78666666666666663</v>
      </c>
      <c r="P131" s="18">
        <f t="shared" si="14"/>
        <v>17700</v>
      </c>
    </row>
    <row r="132" spans="1:16" x14ac:dyDescent="0.25">
      <c r="C132" s="1" t="s">
        <v>316</v>
      </c>
      <c r="D132" s="1">
        <v>2</v>
      </c>
      <c r="E132" s="52">
        <v>18000</v>
      </c>
      <c r="F132" s="52">
        <f>E132*D132</f>
        <v>36000</v>
      </c>
      <c r="G132" s="19"/>
      <c r="I132" s="19"/>
      <c r="J132" s="5"/>
      <c r="O132" s="38"/>
      <c r="P132" s="18"/>
    </row>
    <row r="133" spans="1:16" x14ac:dyDescent="0.25">
      <c r="C133" s="1" t="s">
        <v>317</v>
      </c>
      <c r="D133" s="1">
        <v>1</v>
      </c>
      <c r="E133" s="1">
        <v>1200</v>
      </c>
      <c r="F133" s="1">
        <v>1200</v>
      </c>
      <c r="G133" s="19"/>
      <c r="I133" s="19"/>
      <c r="J133" s="5"/>
      <c r="O133" s="38"/>
      <c r="P133" s="18"/>
    </row>
    <row r="134" spans="1:16" x14ac:dyDescent="0.25">
      <c r="C134" s="1" t="s">
        <v>318</v>
      </c>
      <c r="D134" s="1">
        <v>3</v>
      </c>
      <c r="E134" s="1">
        <v>1000</v>
      </c>
      <c r="F134" s="1">
        <v>3000</v>
      </c>
      <c r="G134" s="19"/>
      <c r="I134" s="19"/>
      <c r="J134" s="5"/>
      <c r="O134" s="38"/>
      <c r="P134" s="18"/>
    </row>
    <row r="135" spans="1:16" x14ac:dyDescent="0.25">
      <c r="A135" s="1">
        <v>14135</v>
      </c>
      <c r="B135" s="1">
        <v>53440</v>
      </c>
      <c r="C135" s="1" t="s">
        <v>57</v>
      </c>
      <c r="G135" s="19">
        <f>SUM(F136:F141)</f>
        <v>8376</v>
      </c>
      <c r="H135" s="19">
        <v>8376</v>
      </c>
      <c r="I135" s="19">
        <v>8376</v>
      </c>
      <c r="J135" s="5">
        <f>[1]Expense!N86</f>
        <v>12805</v>
      </c>
      <c r="K135" s="5">
        <f>[1]Expense!I86</f>
        <v>21227</v>
      </c>
      <c r="L135" s="5">
        <f>[2]Expense!K72</f>
        <v>16728.349999999999</v>
      </c>
      <c r="M135" s="5">
        <v>28539.279999999999</v>
      </c>
      <c r="N135" s="5">
        <v>25424.080000000002</v>
      </c>
      <c r="O135" s="38">
        <f>(G135-K135)/K135</f>
        <v>-0.60540820652942007</v>
      </c>
      <c r="P135" s="18">
        <f>G135-K135</f>
        <v>-12851</v>
      </c>
    </row>
    <row r="136" spans="1:16" x14ac:dyDescent="0.25">
      <c r="C136" s="1" t="s">
        <v>319</v>
      </c>
      <c r="D136" s="1">
        <v>1</v>
      </c>
      <c r="E136" s="1">
        <v>1980</v>
      </c>
      <c r="F136" s="1">
        <v>1980</v>
      </c>
      <c r="G136" s="19"/>
      <c r="I136" s="19"/>
      <c r="J136" s="5"/>
      <c r="O136" s="38"/>
      <c r="P136" s="18"/>
    </row>
    <row r="137" spans="1:16" x14ac:dyDescent="0.25">
      <c r="C137" s="1" t="s">
        <v>320</v>
      </c>
      <c r="D137" s="1">
        <v>1</v>
      </c>
      <c r="E137" s="1">
        <v>1200</v>
      </c>
      <c r="F137" s="1">
        <v>1200</v>
      </c>
      <c r="G137" s="19"/>
      <c r="I137" s="19"/>
      <c r="J137" s="5"/>
      <c r="O137" s="38"/>
      <c r="P137" s="18"/>
    </row>
    <row r="138" spans="1:16" x14ac:dyDescent="0.25">
      <c r="C138" s="1" t="s">
        <v>321</v>
      </c>
      <c r="D138" s="1">
        <v>1</v>
      </c>
      <c r="E138" s="1">
        <v>108</v>
      </c>
      <c r="F138" s="1">
        <v>108</v>
      </c>
      <c r="G138" s="19"/>
      <c r="I138" s="19"/>
      <c r="J138" s="5"/>
      <c r="O138" s="38"/>
      <c r="P138" s="18"/>
    </row>
    <row r="139" spans="1:16" x14ac:dyDescent="0.25">
      <c r="C139" s="1" t="s">
        <v>322</v>
      </c>
      <c r="D139" s="1">
        <v>1</v>
      </c>
      <c r="E139" s="1">
        <v>2088</v>
      </c>
      <c r="F139" s="1">
        <v>2088</v>
      </c>
      <c r="G139" s="19"/>
      <c r="I139" s="19"/>
      <c r="J139" s="5"/>
      <c r="O139" s="38"/>
      <c r="P139" s="18"/>
    </row>
    <row r="140" spans="1:16" x14ac:dyDescent="0.25">
      <c r="C140" s="1" t="s">
        <v>323</v>
      </c>
      <c r="G140" s="19"/>
      <c r="I140" s="19"/>
      <c r="J140" s="5"/>
      <c r="O140" s="38"/>
      <c r="P140" s="18"/>
    </row>
    <row r="141" spans="1:16" x14ac:dyDescent="0.25">
      <c r="C141" s="1" t="s">
        <v>324</v>
      </c>
      <c r="D141" s="1">
        <v>1</v>
      </c>
      <c r="E141" s="1">
        <v>3000</v>
      </c>
      <c r="F141" s="1">
        <v>3000</v>
      </c>
      <c r="G141" s="19"/>
      <c r="I141" s="19"/>
      <c r="J141" s="5"/>
      <c r="O141" s="38"/>
      <c r="P141" s="18"/>
    </row>
    <row r="142" spans="1:16" x14ac:dyDescent="0.25">
      <c r="A142" s="1">
        <v>14135</v>
      </c>
      <c r="B142" s="1">
        <v>54352</v>
      </c>
      <c r="C142" s="1" t="s">
        <v>58</v>
      </c>
      <c r="G142" s="5">
        <v>800</v>
      </c>
      <c r="H142" s="5">
        <v>800</v>
      </c>
      <c r="I142" s="5">
        <v>800</v>
      </c>
      <c r="J142" s="5">
        <f>[1]Expense!N87</f>
        <v>592</v>
      </c>
      <c r="K142" s="5">
        <f>[1]Expense!I87</f>
        <v>400</v>
      </c>
      <c r="L142" s="5">
        <f>[2]Expense!K73</f>
        <v>337.97</v>
      </c>
      <c r="M142" s="5">
        <v>0</v>
      </c>
      <c r="N142" s="5">
        <v>214.76</v>
      </c>
      <c r="O142" s="38">
        <f>(G142-K142)/K142</f>
        <v>1</v>
      </c>
      <c r="P142" s="18">
        <f>G142-K142</f>
        <v>400</v>
      </c>
    </row>
    <row r="143" spans="1:16" x14ac:dyDescent="0.25">
      <c r="A143" s="1">
        <v>14135</v>
      </c>
      <c r="B143" s="1">
        <v>56680</v>
      </c>
      <c r="C143" s="1" t="s">
        <v>43</v>
      </c>
      <c r="G143" s="49">
        <f>20000+14602</f>
        <v>34602</v>
      </c>
      <c r="H143" s="5">
        <v>20000</v>
      </c>
      <c r="I143" s="5">
        <v>20000</v>
      </c>
      <c r="J143" s="5">
        <f>[1]Expense!$J$88</f>
        <v>18809.04</v>
      </c>
      <c r="K143" s="5">
        <v>20000</v>
      </c>
      <c r="L143" s="5">
        <f>[2]Expense!K74</f>
        <v>13469.32</v>
      </c>
      <c r="M143" s="5">
        <v>12497.58</v>
      </c>
      <c r="N143" s="5">
        <v>11142.05</v>
      </c>
      <c r="O143" s="38">
        <f>(G143-K143)/K143</f>
        <v>0.73009999999999997</v>
      </c>
      <c r="P143" s="18">
        <f>G143-K143</f>
        <v>14602</v>
      </c>
    </row>
    <row r="144" spans="1:16" x14ac:dyDescent="0.25">
      <c r="C144" s="1" t="s">
        <v>697</v>
      </c>
      <c r="G144" s="19"/>
      <c r="H144" s="5"/>
      <c r="O144" s="38"/>
      <c r="P144" s="18">
        <f>G144-K144</f>
        <v>0</v>
      </c>
    </row>
    <row r="145" spans="1:17" s="8" customFormat="1" x14ac:dyDescent="0.25">
      <c r="A145" s="8" t="s">
        <v>12</v>
      </c>
      <c r="B145" s="8" t="s">
        <v>59</v>
      </c>
      <c r="G145" s="21">
        <f t="shared" ref="G145" si="15">SUM(G105:G143)</f>
        <v>297053</v>
      </c>
      <c r="H145" s="21">
        <f>SUM(H106:H144)</f>
        <v>259273</v>
      </c>
      <c r="I145" s="21">
        <f t="shared" ref="I145" si="16">SUM(I106:I144)</f>
        <v>259273</v>
      </c>
      <c r="J145" s="21">
        <f>SUM(J105:J144)</f>
        <v>254256.13</v>
      </c>
      <c r="K145" s="21">
        <f>SUM(K105:K144)</f>
        <v>270980</v>
      </c>
      <c r="L145" s="9">
        <f t="shared" ref="L145:N145" si="17">SUM(L105:L143)</f>
        <v>172585.04</v>
      </c>
      <c r="M145" s="9">
        <f t="shared" si="17"/>
        <v>170246.67999999996</v>
      </c>
      <c r="N145" s="9">
        <f t="shared" si="17"/>
        <v>170040.88</v>
      </c>
      <c r="O145" s="39">
        <f>(G145-K145)/K145</f>
        <v>9.6217433020887144E-2</v>
      </c>
      <c r="P145" s="40">
        <f>G145-K145</f>
        <v>26073</v>
      </c>
    </row>
    <row r="146" spans="1:17" x14ac:dyDescent="0.25">
      <c r="G146" s="19"/>
      <c r="K146" s="9"/>
      <c r="L146" s="9"/>
      <c r="O146" s="38"/>
      <c r="P146" s="18"/>
    </row>
    <row r="147" spans="1:17" s="8" customFormat="1" x14ac:dyDescent="0.25">
      <c r="A147" s="8">
        <v>14150</v>
      </c>
      <c r="B147" s="8" t="s">
        <v>60</v>
      </c>
      <c r="G147" s="21"/>
      <c r="H147" s="21"/>
      <c r="I147" s="9"/>
      <c r="J147" s="1"/>
      <c r="K147" s="5"/>
      <c r="L147" s="5"/>
      <c r="M147" s="9"/>
      <c r="N147" s="9"/>
      <c r="O147" s="38"/>
      <c r="P147" s="18"/>
    </row>
    <row r="148" spans="1:17" x14ac:dyDescent="0.25">
      <c r="A148" s="1">
        <v>14150</v>
      </c>
      <c r="B148" s="1">
        <v>51100</v>
      </c>
      <c r="C148" s="1" t="s">
        <v>15</v>
      </c>
      <c r="G148" s="5">
        <v>234100</v>
      </c>
      <c r="H148" s="5">
        <v>234100</v>
      </c>
      <c r="I148" s="5">
        <v>234100</v>
      </c>
      <c r="J148" s="1">
        <f>[1]Expense!N92</f>
        <v>222913</v>
      </c>
      <c r="K148" s="5">
        <f>[1]Expense!I92</f>
        <v>222300</v>
      </c>
      <c r="L148" s="5">
        <f>[2]Expense!K78</f>
        <v>191385.47</v>
      </c>
      <c r="M148" s="5">
        <v>186041.19</v>
      </c>
      <c r="N148" s="5">
        <v>182493.37</v>
      </c>
      <c r="O148" s="38">
        <f>(G148-K148)/K148</f>
        <v>5.3081421502474135E-2</v>
      </c>
      <c r="P148" s="18">
        <f>G148-K148</f>
        <v>11800</v>
      </c>
    </row>
    <row r="149" spans="1:17" x14ac:dyDescent="0.25">
      <c r="A149" s="1">
        <v>14150</v>
      </c>
      <c r="B149" s="1">
        <v>51200</v>
      </c>
      <c r="C149" s="1" t="s">
        <v>16</v>
      </c>
      <c r="G149" s="5">
        <v>100</v>
      </c>
      <c r="H149" s="5">
        <v>100</v>
      </c>
      <c r="I149" s="5">
        <v>100</v>
      </c>
      <c r="J149" s="1">
        <f>[1]Expense!N93</f>
        <v>0</v>
      </c>
      <c r="K149" s="5">
        <f>[1]Expense!I93</f>
        <v>140</v>
      </c>
      <c r="L149" s="5">
        <f>[2]Expense!K79</f>
        <v>0</v>
      </c>
      <c r="M149" s="5">
        <v>15</v>
      </c>
      <c r="N149" s="5">
        <v>0</v>
      </c>
      <c r="O149" s="38">
        <f>(G149-K149)/K149</f>
        <v>-0.2857142857142857</v>
      </c>
      <c r="P149" s="18">
        <f>G149-K149</f>
        <v>-40</v>
      </c>
    </row>
    <row r="150" spans="1:17" x14ac:dyDescent="0.25">
      <c r="A150" s="1">
        <v>14150</v>
      </c>
      <c r="B150" s="1">
        <v>51300</v>
      </c>
      <c r="C150" s="1" t="s">
        <v>17</v>
      </c>
      <c r="G150" s="5">
        <v>3961</v>
      </c>
      <c r="H150" s="5">
        <v>3961</v>
      </c>
      <c r="I150" s="5">
        <v>3961</v>
      </c>
      <c r="J150" s="1">
        <f>[1]Expense!N94</f>
        <v>3961</v>
      </c>
      <c r="K150" s="5">
        <f>[1]Expense!I94</f>
        <v>3961</v>
      </c>
      <c r="L150" s="5">
        <f>[2]Expense!K80</f>
        <v>3960.96</v>
      </c>
      <c r="M150" s="5">
        <v>3961</v>
      </c>
      <c r="N150" s="5">
        <v>3961</v>
      </c>
      <c r="O150" s="38">
        <f>(G150-K150)/K150</f>
        <v>0</v>
      </c>
      <c r="P150" s="18">
        <f>G150-K150</f>
        <v>0</v>
      </c>
    </row>
    <row r="151" spans="1:17" x14ac:dyDescent="0.25">
      <c r="A151" s="1">
        <v>14150</v>
      </c>
      <c r="B151" s="1">
        <v>51400</v>
      </c>
      <c r="C151" s="1" t="s">
        <v>18</v>
      </c>
      <c r="G151" s="5">
        <v>250</v>
      </c>
      <c r="H151" s="5">
        <v>250</v>
      </c>
      <c r="I151" s="5">
        <v>250</v>
      </c>
      <c r="J151" s="1">
        <f>[1]Expense!N95</f>
        <v>277</v>
      </c>
      <c r="K151" s="5">
        <f>[1]Expense!I95</f>
        <v>0</v>
      </c>
      <c r="L151" s="5">
        <f>[2]Expense!K81</f>
        <v>49.31</v>
      </c>
      <c r="M151" s="5">
        <v>0</v>
      </c>
      <c r="N151" s="5">
        <v>49.24</v>
      </c>
      <c r="O151" s="38" t="e">
        <f>(G151-K151)/K151</f>
        <v>#DIV/0!</v>
      </c>
      <c r="P151" s="18">
        <f>G151-K151</f>
        <v>250</v>
      </c>
    </row>
    <row r="152" spans="1:17" x14ac:dyDescent="0.25">
      <c r="A152" s="1">
        <v>14150</v>
      </c>
      <c r="B152" s="1">
        <v>51500</v>
      </c>
      <c r="C152" s="1" t="s">
        <v>74</v>
      </c>
      <c r="G152" s="49">
        <v>8330</v>
      </c>
      <c r="H152" s="19">
        <v>0</v>
      </c>
      <c r="I152" s="5">
        <v>0</v>
      </c>
      <c r="J152" s="1">
        <f>[1]Expense!N96</f>
        <v>2119</v>
      </c>
      <c r="K152" s="5">
        <v>0</v>
      </c>
      <c r="M152" s="5">
        <v>1499.94</v>
      </c>
      <c r="N152" s="5">
        <v>0</v>
      </c>
      <c r="O152" s="38" t="e">
        <f>(G152-K152)/K152</f>
        <v>#DIV/0!</v>
      </c>
      <c r="P152" s="18">
        <f>G152-K152</f>
        <v>8330</v>
      </c>
    </row>
    <row r="153" spans="1:17" x14ac:dyDescent="0.25">
      <c r="A153" s="1">
        <v>14150</v>
      </c>
      <c r="B153" s="1">
        <v>51510</v>
      </c>
      <c r="C153" s="1" t="s">
        <v>20</v>
      </c>
      <c r="G153" s="5"/>
      <c r="H153" s="5"/>
      <c r="L153" s="5">
        <f>[2]Expense!K82</f>
        <v>0</v>
      </c>
      <c r="M153" s="5">
        <v>2126.1</v>
      </c>
      <c r="N153" s="5">
        <v>2069.11</v>
      </c>
      <c r="O153" s="38"/>
      <c r="P153" s="18"/>
    </row>
    <row r="154" spans="1:17" x14ac:dyDescent="0.25">
      <c r="A154" s="1">
        <v>14150</v>
      </c>
      <c r="B154" s="1">
        <v>51520</v>
      </c>
      <c r="C154" s="1" t="s">
        <v>62</v>
      </c>
      <c r="G154" s="5">
        <v>300</v>
      </c>
      <c r="H154" s="5">
        <v>300</v>
      </c>
      <c r="I154" s="5">
        <v>300</v>
      </c>
      <c r="J154" s="1">
        <f>[1]Expense!N97</f>
        <v>300</v>
      </c>
      <c r="K154" s="5">
        <f>[1]Expense!I97</f>
        <v>300</v>
      </c>
      <c r="L154" s="5">
        <f>[2]Expense!K83</f>
        <v>280</v>
      </c>
      <c r="M154" s="5">
        <v>280</v>
      </c>
      <c r="N154" s="5">
        <v>280</v>
      </c>
      <c r="O154" s="38">
        <f t="shared" ref="O154:O161" si="18">(G154-K154)/K154</f>
        <v>0</v>
      </c>
      <c r="P154" s="18">
        <f t="shared" ref="P154:P161" si="19">G154-K154</f>
        <v>0</v>
      </c>
    </row>
    <row r="155" spans="1:17" x14ac:dyDescent="0.25">
      <c r="A155" s="1">
        <v>14150</v>
      </c>
      <c r="B155" s="1">
        <v>52100</v>
      </c>
      <c r="C155" s="1" t="s">
        <v>22</v>
      </c>
      <c r="G155" s="49">
        <v>46065</v>
      </c>
      <c r="H155" s="5">
        <v>57200</v>
      </c>
      <c r="I155" s="5">
        <v>57200</v>
      </c>
      <c r="J155" s="1">
        <f>[1]Expense!N98</f>
        <v>46099</v>
      </c>
      <c r="K155" s="5">
        <f>[1]Expense!I98</f>
        <v>46741</v>
      </c>
      <c r="L155" s="5">
        <f>[2]Expense!K84</f>
        <v>46280.35</v>
      </c>
      <c r="M155" s="5">
        <v>48197.38</v>
      </c>
      <c r="N155" s="5">
        <v>51654.06</v>
      </c>
      <c r="O155" s="38">
        <f t="shared" si="18"/>
        <v>-1.4462677306861214E-2</v>
      </c>
      <c r="P155" s="18">
        <f t="shared" si="19"/>
        <v>-676</v>
      </c>
    </row>
    <row r="156" spans="1:17" x14ac:dyDescent="0.25">
      <c r="A156" s="1">
        <v>14150</v>
      </c>
      <c r="B156" s="1">
        <v>52140</v>
      </c>
      <c r="C156" s="1" t="s">
        <v>23</v>
      </c>
      <c r="G156" s="19">
        <v>1169</v>
      </c>
      <c r="H156" s="19">
        <v>1169</v>
      </c>
      <c r="I156" s="19">
        <v>1169</v>
      </c>
      <c r="J156" s="1">
        <f>[1]Expense!N99</f>
        <v>604</v>
      </c>
      <c r="K156" s="5">
        <f>[1]Expense!I99</f>
        <v>949</v>
      </c>
      <c r="O156" s="38">
        <f t="shared" si="18"/>
        <v>0.23182297154899895</v>
      </c>
      <c r="P156" s="18">
        <f t="shared" si="19"/>
        <v>220</v>
      </c>
    </row>
    <row r="157" spans="1:17" x14ac:dyDescent="0.25">
      <c r="A157" s="1">
        <v>14150</v>
      </c>
      <c r="B157" s="1">
        <v>52200</v>
      </c>
      <c r="C157" s="1" t="s">
        <v>24</v>
      </c>
      <c r="G157" s="5">
        <v>18401</v>
      </c>
      <c r="H157" s="5">
        <v>18401</v>
      </c>
      <c r="I157" s="5">
        <v>18500</v>
      </c>
      <c r="J157" s="1">
        <f>[1]Expense!N100</f>
        <v>17036</v>
      </c>
      <c r="K157" s="5">
        <f>[1]Expense!I100</f>
        <v>16950</v>
      </c>
      <c r="L157" s="5">
        <f>[2]Expense!K85</f>
        <v>14534.75</v>
      </c>
      <c r="M157" s="5">
        <v>15121.62</v>
      </c>
      <c r="N157" s="5">
        <v>13258.19</v>
      </c>
      <c r="O157" s="38">
        <f t="shared" si="18"/>
        <v>8.5604719764011794E-2</v>
      </c>
      <c r="P157" s="18">
        <f t="shared" si="19"/>
        <v>1451</v>
      </c>
    </row>
    <row r="158" spans="1:17" x14ac:dyDescent="0.25">
      <c r="A158" s="1">
        <v>14150</v>
      </c>
      <c r="B158" s="1">
        <v>52230</v>
      </c>
      <c r="C158" s="1" t="s">
        <v>25</v>
      </c>
      <c r="G158" s="5">
        <v>32000</v>
      </c>
      <c r="H158" s="5">
        <v>32000</v>
      </c>
      <c r="I158" s="5">
        <v>32000</v>
      </c>
      <c r="J158" s="1">
        <f>[1]Expense!N101</f>
        <v>31099</v>
      </c>
      <c r="K158" s="5">
        <f>[1]Expense!I101</f>
        <v>29950</v>
      </c>
      <c r="L158" s="5">
        <f>[2]Expense!K86</f>
        <v>26567.68</v>
      </c>
      <c r="M158" s="5">
        <v>23160.639999999999</v>
      </c>
      <c r="N158" s="5">
        <v>20652.669999999998</v>
      </c>
      <c r="O158" s="38">
        <f t="shared" si="18"/>
        <v>6.8447412353923209E-2</v>
      </c>
      <c r="P158" s="18">
        <f t="shared" si="19"/>
        <v>2050</v>
      </c>
    </row>
    <row r="159" spans="1:17" x14ac:dyDescent="0.25">
      <c r="A159" s="1">
        <v>14150</v>
      </c>
      <c r="B159" s="1">
        <v>52250</v>
      </c>
      <c r="C159" s="1" t="s">
        <v>26</v>
      </c>
      <c r="G159" s="19">
        <v>197</v>
      </c>
      <c r="H159" s="19">
        <v>197</v>
      </c>
      <c r="I159" s="19">
        <v>197</v>
      </c>
      <c r="J159" s="1">
        <f>[1]Expense!N102</f>
        <v>81</v>
      </c>
      <c r="K159" s="5">
        <f>[1]Expense!I102</f>
        <v>81</v>
      </c>
      <c r="L159" s="5">
        <f>[2]Expense!K87</f>
        <v>89.43</v>
      </c>
      <c r="M159" s="5">
        <v>97.97</v>
      </c>
      <c r="N159" s="5">
        <v>97.97</v>
      </c>
      <c r="O159" s="38">
        <f t="shared" si="18"/>
        <v>1.4320987654320987</v>
      </c>
      <c r="P159" s="18">
        <f t="shared" si="19"/>
        <v>116</v>
      </c>
    </row>
    <row r="160" spans="1:17" x14ac:dyDescent="0.25">
      <c r="A160" s="1">
        <v>14150</v>
      </c>
      <c r="B160" s="1">
        <v>52260</v>
      </c>
      <c r="C160" s="1" t="s">
        <v>27</v>
      </c>
      <c r="G160" s="19">
        <v>402</v>
      </c>
      <c r="H160" s="19">
        <v>402</v>
      </c>
      <c r="I160" s="19">
        <v>402</v>
      </c>
      <c r="J160" s="1">
        <f>[1]Expense!N103</f>
        <v>444</v>
      </c>
      <c r="K160" s="5">
        <f>[1]Expense!I103</f>
        <v>444</v>
      </c>
      <c r="L160" s="5">
        <f>[2]Expense!K88</f>
        <v>459</v>
      </c>
      <c r="M160" s="5">
        <v>406</v>
      </c>
      <c r="N160" s="5">
        <v>473</v>
      </c>
      <c r="O160" s="38">
        <f t="shared" si="18"/>
        <v>-9.45945945945946E-2</v>
      </c>
      <c r="P160" s="18">
        <f t="shared" si="19"/>
        <v>-42</v>
      </c>
      <c r="Q160" s="18">
        <f>SUM(P148:P160)</f>
        <v>23459</v>
      </c>
    </row>
    <row r="161" spans="1:16" x14ac:dyDescent="0.25">
      <c r="A161" s="1">
        <v>14150</v>
      </c>
      <c r="B161" s="1">
        <v>53400</v>
      </c>
      <c r="C161" s="1" t="s">
        <v>63</v>
      </c>
      <c r="G161" s="5">
        <v>100</v>
      </c>
      <c r="H161" s="5">
        <v>100</v>
      </c>
      <c r="I161" s="5">
        <v>100</v>
      </c>
      <c r="J161" s="1">
        <f>[1]Expense!N104</f>
        <v>134</v>
      </c>
      <c r="K161" s="5">
        <f>[1]Expense!I104</f>
        <v>100</v>
      </c>
      <c r="L161" s="5">
        <f>[2]Expense!K89</f>
        <v>456.01</v>
      </c>
      <c r="M161" s="5">
        <v>299.56</v>
      </c>
      <c r="N161" s="5">
        <v>40</v>
      </c>
      <c r="O161" s="38">
        <f t="shared" si="18"/>
        <v>0</v>
      </c>
      <c r="P161" s="18">
        <f t="shared" si="19"/>
        <v>0</v>
      </c>
    </row>
    <row r="162" spans="1:16" x14ac:dyDescent="0.25">
      <c r="C162" s="1" t="s">
        <v>325</v>
      </c>
      <c r="D162" s="1">
        <v>4</v>
      </c>
      <c r="E162" s="1">
        <v>25</v>
      </c>
      <c r="F162" s="1">
        <v>100</v>
      </c>
      <c r="G162" s="5"/>
      <c r="H162" s="5"/>
      <c r="O162" s="38"/>
      <c r="P162" s="18"/>
    </row>
    <row r="163" spans="1:16" x14ac:dyDescent="0.25">
      <c r="A163" s="1">
        <v>14150</v>
      </c>
      <c r="B163" s="1">
        <v>56110</v>
      </c>
      <c r="C163" s="1" t="s">
        <v>39</v>
      </c>
      <c r="G163" s="5">
        <v>1500</v>
      </c>
      <c r="H163" s="5">
        <v>1500</v>
      </c>
      <c r="I163" s="5">
        <v>1500</v>
      </c>
      <c r="J163" s="1">
        <f>[1]Expense!N105</f>
        <v>85</v>
      </c>
      <c r="K163" s="41">
        <f>[1]Expense!I105</f>
        <v>1500</v>
      </c>
      <c r="L163" s="5">
        <f>[2]Expense!K90</f>
        <v>249</v>
      </c>
      <c r="M163" s="5">
        <v>50</v>
      </c>
      <c r="N163" s="5">
        <v>257.72000000000003</v>
      </c>
      <c r="O163" s="38">
        <f>(G163-K163)/K163</f>
        <v>0</v>
      </c>
      <c r="P163" s="18">
        <f>G163-K163</f>
        <v>0</v>
      </c>
    </row>
    <row r="164" spans="1:16" x14ac:dyDescent="0.25">
      <c r="C164" s="1" t="s">
        <v>662</v>
      </c>
      <c r="D164" s="1">
        <v>3</v>
      </c>
      <c r="E164" s="1">
        <v>500</v>
      </c>
      <c r="F164" s="1">
        <v>1500</v>
      </c>
      <c r="G164" s="5"/>
      <c r="H164" s="5"/>
      <c r="K164" s="41"/>
      <c r="O164" s="38"/>
      <c r="P164" s="18"/>
    </row>
    <row r="165" spans="1:16" x14ac:dyDescent="0.25">
      <c r="C165" s="1" t="s">
        <v>663</v>
      </c>
      <c r="G165" s="5"/>
      <c r="H165" s="5"/>
      <c r="K165" s="41"/>
      <c r="O165" s="38"/>
      <c r="P165" s="18"/>
    </row>
    <row r="166" spans="1:16" x14ac:dyDescent="0.25">
      <c r="A166" s="1">
        <v>14150</v>
      </c>
      <c r="B166" s="1">
        <v>56130</v>
      </c>
      <c r="C166" s="1" t="s">
        <v>11</v>
      </c>
      <c r="G166" s="5">
        <v>3300</v>
      </c>
      <c r="H166" s="5">
        <v>3300</v>
      </c>
      <c r="I166" s="5">
        <v>3300</v>
      </c>
      <c r="J166" s="1">
        <f>[1]Expense!N106</f>
        <v>1152</v>
      </c>
      <c r="K166" s="5">
        <f>[1]Expense!I106</f>
        <v>3300</v>
      </c>
      <c r="L166" s="5">
        <f>[2]Expense!K91</f>
        <v>1177.7</v>
      </c>
      <c r="M166" s="5">
        <v>5.37</v>
      </c>
      <c r="N166" s="5">
        <v>168.82</v>
      </c>
      <c r="O166" s="38">
        <f>(G166-K166)/K166</f>
        <v>0</v>
      </c>
      <c r="P166" s="18">
        <f>G166-K166</f>
        <v>0</v>
      </c>
    </row>
    <row r="167" spans="1:16" x14ac:dyDescent="0.25">
      <c r="C167" s="1" t="s">
        <v>667</v>
      </c>
      <c r="E167" s="1" t="s">
        <v>326</v>
      </c>
      <c r="G167" s="5"/>
      <c r="H167" s="5"/>
      <c r="O167" s="38"/>
      <c r="P167" s="18"/>
    </row>
    <row r="168" spans="1:16" x14ac:dyDescent="0.25">
      <c r="C168" s="1" t="s">
        <v>327</v>
      </c>
      <c r="E168" s="1" t="s">
        <v>326</v>
      </c>
      <c r="G168" s="5"/>
      <c r="H168" s="5"/>
      <c r="O168" s="38"/>
      <c r="P168" s="18"/>
    </row>
    <row r="169" spans="1:16" x14ac:dyDescent="0.25">
      <c r="C169" s="1" t="s">
        <v>328</v>
      </c>
      <c r="G169" s="5"/>
      <c r="H169" s="5"/>
      <c r="O169" s="38"/>
      <c r="P169" s="18"/>
    </row>
    <row r="170" spans="1:16" x14ac:dyDescent="0.25">
      <c r="A170" s="1">
        <v>14150</v>
      </c>
      <c r="B170" s="1">
        <v>56200</v>
      </c>
      <c r="C170" s="1" t="s">
        <v>40</v>
      </c>
      <c r="G170" s="5">
        <v>1800</v>
      </c>
      <c r="H170" s="5">
        <v>1800</v>
      </c>
      <c r="I170" s="5">
        <v>1800</v>
      </c>
      <c r="J170" s="4">
        <f>[1]Expense!N107</f>
        <v>1387.61</v>
      </c>
      <c r="K170" s="5">
        <f>[1]Expense!I107</f>
        <v>1800</v>
      </c>
      <c r="L170" s="5">
        <f>[2]Expense!K92</f>
        <v>3652.35</v>
      </c>
      <c r="M170" s="5">
        <v>2404.56</v>
      </c>
      <c r="N170" s="5">
        <v>1599.81</v>
      </c>
      <c r="O170" s="38">
        <f>(G170-K170)/K170</f>
        <v>0</v>
      </c>
      <c r="P170" s="18">
        <f>G170-K170</f>
        <v>0</v>
      </c>
    </row>
    <row r="171" spans="1:16" x14ac:dyDescent="0.25">
      <c r="C171" s="1" t="s">
        <v>329</v>
      </c>
      <c r="G171" s="5"/>
      <c r="H171" s="5"/>
      <c r="O171" s="38"/>
      <c r="P171" s="18"/>
    </row>
    <row r="172" spans="1:16" x14ac:dyDescent="0.25">
      <c r="C172" s="1" t="s">
        <v>664</v>
      </c>
      <c r="G172" s="5"/>
      <c r="H172" s="5"/>
      <c r="O172" s="38"/>
      <c r="P172" s="18"/>
    </row>
    <row r="173" spans="1:16" x14ac:dyDescent="0.25">
      <c r="A173" s="1">
        <v>14150</v>
      </c>
      <c r="B173" s="1">
        <v>56250</v>
      </c>
      <c r="C173" s="1" t="s">
        <v>41</v>
      </c>
      <c r="G173" s="5">
        <v>1200</v>
      </c>
      <c r="H173" s="5">
        <v>1200</v>
      </c>
      <c r="I173" s="5">
        <v>1200</v>
      </c>
      <c r="J173" s="4">
        <f>[1]Expense!$J$108</f>
        <v>1125.3699999999999</v>
      </c>
      <c r="K173" s="5">
        <v>1200</v>
      </c>
      <c r="L173" s="5">
        <f>[2]Expense!K93</f>
        <v>1033.82</v>
      </c>
      <c r="M173" s="5">
        <v>989.7</v>
      </c>
      <c r="N173" s="5">
        <v>912.47</v>
      </c>
      <c r="O173" s="38">
        <f>(G173-K173)/K173</f>
        <v>0</v>
      </c>
      <c r="P173" s="18">
        <f>G173-K173</f>
        <v>0</v>
      </c>
    </row>
    <row r="174" spans="1:16" x14ac:dyDescent="0.25">
      <c r="C174" s="1" t="s">
        <v>330</v>
      </c>
      <c r="D174" s="1">
        <v>1</v>
      </c>
      <c r="E174" s="1">
        <v>150</v>
      </c>
      <c r="F174" s="1">
        <v>150</v>
      </c>
      <c r="G174" s="5"/>
      <c r="H174" s="5"/>
      <c r="O174" s="38"/>
      <c r="P174" s="18"/>
    </row>
    <row r="175" spans="1:16" x14ac:dyDescent="0.25">
      <c r="C175" s="1" t="s">
        <v>331</v>
      </c>
      <c r="D175" s="1">
        <v>1</v>
      </c>
      <c r="E175" s="1">
        <v>100</v>
      </c>
      <c r="F175" s="1">
        <v>100</v>
      </c>
      <c r="G175" s="5"/>
      <c r="H175" s="5"/>
      <c r="O175" s="38"/>
      <c r="P175" s="18"/>
    </row>
    <row r="176" spans="1:16" x14ac:dyDescent="0.25">
      <c r="C176" s="1" t="s">
        <v>332</v>
      </c>
      <c r="D176" s="1">
        <v>1</v>
      </c>
      <c r="E176" s="1">
        <v>950</v>
      </c>
      <c r="F176" s="1">
        <v>950</v>
      </c>
      <c r="G176" s="5"/>
      <c r="H176" s="5"/>
      <c r="O176" s="38"/>
      <c r="P176" s="18"/>
    </row>
    <row r="177" spans="1:17" s="8" customFormat="1" x14ac:dyDescent="0.25">
      <c r="A177" s="8" t="s">
        <v>12</v>
      </c>
      <c r="B177" s="8" t="s">
        <v>64</v>
      </c>
      <c r="G177" s="21">
        <f>SUM(G148:G173)</f>
        <v>353175</v>
      </c>
      <c r="H177" s="21">
        <f>SUM(H148:H173)</f>
        <v>355980</v>
      </c>
      <c r="I177" s="9">
        <f t="shared" ref="I177:N177" si="20">SUM(I148:I173)</f>
        <v>356079</v>
      </c>
      <c r="J177" s="9">
        <f>[1]Expense!$J$109</f>
        <v>328815.95</v>
      </c>
      <c r="K177" s="9">
        <f>SUM(K147:K176)</f>
        <v>329716</v>
      </c>
      <c r="L177" s="9">
        <f t="shared" si="20"/>
        <v>290175.83</v>
      </c>
      <c r="M177" s="9">
        <f t="shared" si="20"/>
        <v>284656.02999999997</v>
      </c>
      <c r="N177" s="9">
        <f t="shared" si="20"/>
        <v>277967.42999999988</v>
      </c>
      <c r="O177" s="39">
        <f>(G177-K177)/K177</f>
        <v>7.1149110143274824E-2</v>
      </c>
      <c r="P177" s="40">
        <f>G177-K177</f>
        <v>23459</v>
      </c>
    </row>
    <row r="178" spans="1:17" x14ac:dyDescent="0.25">
      <c r="G178" s="19"/>
      <c r="L178" s="9"/>
      <c r="O178" s="38"/>
      <c r="P178" s="18">
        <f>H178-K178</f>
        <v>0</v>
      </c>
    </row>
    <row r="179" spans="1:17" s="8" customFormat="1" x14ac:dyDescent="0.25">
      <c r="A179" s="8">
        <v>14193</v>
      </c>
      <c r="B179" s="8" t="s">
        <v>65</v>
      </c>
      <c r="G179" s="21"/>
      <c r="H179" s="21"/>
      <c r="I179" s="9"/>
      <c r="J179" s="1"/>
      <c r="K179" s="5"/>
      <c r="L179" s="5">
        <f>[2]Expense!K96</f>
        <v>0</v>
      </c>
      <c r="M179" s="9"/>
      <c r="N179" s="9"/>
      <c r="O179" s="38"/>
      <c r="P179" s="18">
        <f>H179-K179</f>
        <v>0</v>
      </c>
    </row>
    <row r="180" spans="1:17" x14ac:dyDescent="0.25">
      <c r="A180" s="1">
        <v>14193</v>
      </c>
      <c r="B180" s="1">
        <v>51100</v>
      </c>
      <c r="C180" s="1" t="s">
        <v>15</v>
      </c>
      <c r="G180" s="5">
        <v>113500</v>
      </c>
      <c r="H180" s="5">
        <v>113500</v>
      </c>
      <c r="I180" s="5">
        <v>113500</v>
      </c>
      <c r="J180" s="5">
        <f>[1]Expense!N112</f>
        <v>104922</v>
      </c>
      <c r="K180" s="5">
        <f>[1]Expense!I112</f>
        <v>116400</v>
      </c>
      <c r="L180" s="5">
        <f>[2]Expense!K97</f>
        <v>91519.87</v>
      </c>
      <c r="M180" s="5">
        <v>76148.100000000006</v>
      </c>
      <c r="N180" s="5">
        <v>93247.92</v>
      </c>
      <c r="O180" s="38">
        <f>(G180-K180)/K180</f>
        <v>-2.4914089347079039E-2</v>
      </c>
      <c r="P180" s="18">
        <f t="shared" ref="P180:P192" si="21">G180-K180</f>
        <v>-2900</v>
      </c>
    </row>
    <row r="181" spans="1:17" x14ac:dyDescent="0.25">
      <c r="A181" s="1">
        <v>14193</v>
      </c>
      <c r="B181" s="1">
        <v>51200</v>
      </c>
      <c r="C181" s="1" t="s">
        <v>16</v>
      </c>
      <c r="G181" s="5">
        <v>10855</v>
      </c>
      <c r="H181" s="5">
        <v>10855</v>
      </c>
      <c r="I181" s="5">
        <v>10855</v>
      </c>
      <c r="J181" s="5">
        <f>[1]Expense!N113</f>
        <v>8703</v>
      </c>
      <c r="K181" s="5">
        <f>[1]Expense!I113</f>
        <v>10655</v>
      </c>
      <c r="L181" s="5">
        <f>[2]Expense!K98</f>
        <v>8282.18</v>
      </c>
      <c r="M181" s="5">
        <v>8941.11</v>
      </c>
      <c r="N181" s="5">
        <v>5302.01</v>
      </c>
      <c r="O181" s="38">
        <f>(G181-K181)/K181</f>
        <v>1.8770530267480056E-2</v>
      </c>
      <c r="P181" s="18">
        <f t="shared" si="21"/>
        <v>200</v>
      </c>
    </row>
    <row r="182" spans="1:17" x14ac:dyDescent="0.25">
      <c r="A182" s="1">
        <v>14193</v>
      </c>
      <c r="B182" s="1">
        <v>51300</v>
      </c>
      <c r="C182" s="1" t="s">
        <v>17</v>
      </c>
      <c r="G182" s="5">
        <v>75260</v>
      </c>
      <c r="H182" s="5">
        <v>75260</v>
      </c>
      <c r="I182" s="5">
        <v>75260</v>
      </c>
      <c r="J182" s="5">
        <f>[1]Expense!N114</f>
        <v>75257</v>
      </c>
      <c r="K182" s="5">
        <f>[1]Expense!I114</f>
        <v>75257</v>
      </c>
      <c r="L182" s="5">
        <f>[2]Expense!K99</f>
        <v>68415</v>
      </c>
      <c r="M182" s="5">
        <v>68415</v>
      </c>
      <c r="N182" s="5">
        <v>68415</v>
      </c>
      <c r="O182" s="38">
        <f>(G182-K182)/K182</f>
        <v>3.9863401411164407E-5</v>
      </c>
      <c r="P182" s="18">
        <f t="shared" si="21"/>
        <v>3</v>
      </c>
    </row>
    <row r="183" spans="1:17" x14ac:dyDescent="0.25">
      <c r="A183" s="1">
        <v>14193</v>
      </c>
      <c r="B183" s="1">
        <v>51500</v>
      </c>
      <c r="C183" s="1" t="s">
        <v>66</v>
      </c>
      <c r="G183" s="5">
        <v>11150</v>
      </c>
      <c r="H183" s="5">
        <v>11150</v>
      </c>
      <c r="I183" s="5">
        <v>11150</v>
      </c>
      <c r="J183" s="5">
        <f>[1]Expense!N115</f>
        <v>9221</v>
      </c>
      <c r="K183" s="5">
        <f>[1]Expense!I115</f>
        <v>9950</v>
      </c>
      <c r="L183" s="5">
        <f>[2]Expense!K100</f>
        <v>7935.82</v>
      </c>
      <c r="M183" s="5">
        <v>0</v>
      </c>
      <c r="N183" s="5">
        <v>0</v>
      </c>
      <c r="O183" s="38">
        <f>(G183-K183)/K183</f>
        <v>0.12060301507537688</v>
      </c>
      <c r="P183" s="18">
        <f t="shared" si="21"/>
        <v>1200</v>
      </c>
    </row>
    <row r="184" spans="1:17" x14ac:dyDescent="0.25">
      <c r="A184" s="1">
        <v>14193</v>
      </c>
      <c r="B184" s="1">
        <v>51510</v>
      </c>
      <c r="C184" s="1" t="s">
        <v>20</v>
      </c>
      <c r="G184" s="5">
        <v>0</v>
      </c>
      <c r="H184" s="5">
        <v>0</v>
      </c>
      <c r="I184" s="5">
        <v>0</v>
      </c>
      <c r="J184" s="5"/>
      <c r="M184" s="5">
        <v>473.76</v>
      </c>
      <c r="N184" s="5">
        <v>0</v>
      </c>
      <c r="O184" s="38"/>
      <c r="P184" s="18">
        <f t="shared" si="21"/>
        <v>0</v>
      </c>
    </row>
    <row r="185" spans="1:17" x14ac:dyDescent="0.25">
      <c r="A185" s="1">
        <v>14193</v>
      </c>
      <c r="B185" s="1">
        <v>51520</v>
      </c>
      <c r="C185" s="1" t="s">
        <v>21</v>
      </c>
      <c r="G185" s="5">
        <v>300</v>
      </c>
      <c r="H185" s="5">
        <v>300</v>
      </c>
      <c r="I185" s="5">
        <v>300</v>
      </c>
      <c r="J185" s="5">
        <f>[1]Expense!N116</f>
        <v>300</v>
      </c>
      <c r="K185" s="5">
        <f>[1]Expense!I116</f>
        <v>300</v>
      </c>
      <c r="L185" s="5">
        <f>[2]Expense!K101</f>
        <v>280</v>
      </c>
      <c r="M185" s="5">
        <v>280</v>
      </c>
      <c r="N185" s="5">
        <v>280</v>
      </c>
      <c r="O185" s="38">
        <f t="shared" ref="O185:O192" si="22">(G185-K185)/K185</f>
        <v>0</v>
      </c>
      <c r="P185" s="18">
        <f t="shared" si="21"/>
        <v>0</v>
      </c>
    </row>
    <row r="186" spans="1:17" x14ac:dyDescent="0.25">
      <c r="A186" s="1">
        <v>14193</v>
      </c>
      <c r="B186" s="1">
        <v>52100</v>
      </c>
      <c r="C186" s="1" t="s">
        <v>22</v>
      </c>
      <c r="G186" s="5">
        <v>54800</v>
      </c>
      <c r="H186" s="5">
        <v>54800</v>
      </c>
      <c r="I186" s="5">
        <v>54800</v>
      </c>
      <c r="J186" s="5">
        <f>[1]Expense!N117</f>
        <v>48729</v>
      </c>
      <c r="K186" s="5">
        <f>[1]Expense!I117</f>
        <v>48751</v>
      </c>
      <c r="L186" s="5">
        <f>[2]Expense!K102</f>
        <v>49088.160000000003</v>
      </c>
      <c r="M186" s="5">
        <v>54523.88</v>
      </c>
      <c r="N186" s="5">
        <v>63637.04</v>
      </c>
      <c r="O186" s="38">
        <f t="shared" si="22"/>
        <v>0.12407950606141413</v>
      </c>
      <c r="P186" s="18">
        <f t="shared" si="21"/>
        <v>6049</v>
      </c>
    </row>
    <row r="187" spans="1:17" x14ac:dyDescent="0.25">
      <c r="A187" s="1">
        <v>14193</v>
      </c>
      <c r="B187" s="1">
        <v>52140</v>
      </c>
      <c r="C187" s="1" t="s">
        <v>23</v>
      </c>
      <c r="G187" s="19">
        <v>1169</v>
      </c>
      <c r="H187" s="19">
        <v>1169</v>
      </c>
      <c r="I187" s="19">
        <v>1169</v>
      </c>
      <c r="J187" s="5">
        <f>[1]Expense!N118</f>
        <v>606</v>
      </c>
      <c r="K187" s="5">
        <f>[1]Expense!I118</f>
        <v>948.6</v>
      </c>
      <c r="O187" s="38">
        <f>(G187-K187)/K187</f>
        <v>0.2323423993253215</v>
      </c>
      <c r="P187" s="18">
        <f t="shared" si="21"/>
        <v>220.39999999999998</v>
      </c>
    </row>
    <row r="188" spans="1:17" x14ac:dyDescent="0.25">
      <c r="A188" s="1">
        <v>14193</v>
      </c>
      <c r="B188" s="1">
        <v>52200</v>
      </c>
      <c r="C188" s="1" t="s">
        <v>24</v>
      </c>
      <c r="G188" s="5">
        <v>16100</v>
      </c>
      <c r="H188" s="5">
        <v>16100</v>
      </c>
      <c r="I188" s="5">
        <v>16100</v>
      </c>
      <c r="J188" s="5">
        <f>[1]Expense!N119</f>
        <v>14572</v>
      </c>
      <c r="K188" s="5">
        <f>[1]Expense!I119</f>
        <v>15500</v>
      </c>
      <c r="L188" s="5">
        <f>[2]Expense!K103</f>
        <v>12972.36</v>
      </c>
      <c r="M188" s="5">
        <v>11610.89</v>
      </c>
      <c r="N188" s="5">
        <v>12387.15</v>
      </c>
      <c r="O188" s="38">
        <f t="shared" si="22"/>
        <v>3.870967741935484E-2</v>
      </c>
      <c r="P188" s="18">
        <f t="shared" si="21"/>
        <v>600</v>
      </c>
    </row>
    <row r="189" spans="1:17" x14ac:dyDescent="0.25">
      <c r="A189" s="1">
        <v>14193</v>
      </c>
      <c r="B189" s="1">
        <v>52230</v>
      </c>
      <c r="C189" s="1" t="s">
        <v>25</v>
      </c>
      <c r="G189" s="5">
        <v>27000</v>
      </c>
      <c r="H189" s="5">
        <v>27000</v>
      </c>
      <c r="I189" s="5">
        <v>27000</v>
      </c>
      <c r="J189" s="5">
        <f>[1]Expense!N120</f>
        <v>25706</v>
      </c>
      <c r="K189" s="5">
        <f>[1]Expense!I120</f>
        <v>26425</v>
      </c>
      <c r="L189" s="5">
        <f>[2]Expense!K104</f>
        <v>22544.69</v>
      </c>
      <c r="M189" s="5">
        <v>18812.060000000001</v>
      </c>
      <c r="N189" s="5">
        <v>18089.349999999999</v>
      </c>
      <c r="O189" s="38">
        <f t="shared" si="22"/>
        <v>2.1759697256385997E-2</v>
      </c>
      <c r="P189" s="18">
        <f t="shared" si="21"/>
        <v>575</v>
      </c>
    </row>
    <row r="190" spans="1:17" x14ac:dyDescent="0.25">
      <c r="A190" s="1">
        <v>14193</v>
      </c>
      <c r="B190" s="1">
        <v>52250</v>
      </c>
      <c r="C190" s="1" t="s">
        <v>26</v>
      </c>
      <c r="G190" s="19">
        <v>126</v>
      </c>
      <c r="H190" s="19">
        <v>126</v>
      </c>
      <c r="I190" s="19">
        <v>126</v>
      </c>
      <c r="J190" s="5">
        <f>[1]Expense!N121</f>
        <v>27</v>
      </c>
      <c r="K190" s="5">
        <f>[1]Expense!I121</f>
        <v>27</v>
      </c>
      <c r="L190" s="5">
        <f>[2]Expense!K105</f>
        <v>29.81</v>
      </c>
      <c r="M190" s="5">
        <v>167.18</v>
      </c>
      <c r="N190" s="5">
        <v>167.18</v>
      </c>
      <c r="O190" s="38">
        <f t="shared" si="22"/>
        <v>3.6666666666666665</v>
      </c>
      <c r="P190" s="18">
        <f t="shared" si="21"/>
        <v>99</v>
      </c>
    </row>
    <row r="191" spans="1:17" x14ac:dyDescent="0.25">
      <c r="A191" s="1">
        <v>14193</v>
      </c>
      <c r="B191" s="1">
        <v>52260</v>
      </c>
      <c r="C191" s="1" t="s">
        <v>27</v>
      </c>
      <c r="G191" s="19">
        <v>373</v>
      </c>
      <c r="H191" s="19">
        <v>373</v>
      </c>
      <c r="I191" s="19">
        <v>373</v>
      </c>
      <c r="J191" s="5">
        <f>[1]Expense!N122</f>
        <v>364</v>
      </c>
      <c r="K191" s="5">
        <f>[1]Expense!I122</f>
        <v>364</v>
      </c>
      <c r="L191" s="5">
        <f>[2]Expense!K106</f>
        <v>407</v>
      </c>
      <c r="M191" s="5">
        <v>677</v>
      </c>
      <c r="N191" s="5">
        <v>789</v>
      </c>
      <c r="O191" s="38">
        <f t="shared" si="22"/>
        <v>2.4725274725274724E-2</v>
      </c>
      <c r="P191" s="18">
        <f t="shared" si="21"/>
        <v>9</v>
      </c>
      <c r="Q191" s="18">
        <f>SUM(P180:P191)</f>
        <v>6055.4</v>
      </c>
    </row>
    <row r="192" spans="1:17" x14ac:dyDescent="0.25">
      <c r="A192" s="1">
        <v>14193</v>
      </c>
      <c r="B192" s="1">
        <v>53410</v>
      </c>
      <c r="C192" s="1" t="s">
        <v>29</v>
      </c>
      <c r="G192" s="5">
        <v>1560</v>
      </c>
      <c r="H192" s="5">
        <v>1560</v>
      </c>
      <c r="I192" s="5">
        <v>1560</v>
      </c>
      <c r="J192" s="5">
        <f>[1]Expense!N123</f>
        <v>1415</v>
      </c>
      <c r="K192" s="5">
        <f>[1]Expense!I123</f>
        <v>1560</v>
      </c>
      <c r="L192" s="5">
        <f>[2]Expense!K107</f>
        <v>1396.36</v>
      </c>
      <c r="M192" s="5">
        <v>1443.47</v>
      </c>
      <c r="N192" s="5">
        <v>1522.32</v>
      </c>
      <c r="O192" s="38">
        <f t="shared" si="22"/>
        <v>0</v>
      </c>
      <c r="P192" s="18">
        <f t="shared" si="21"/>
        <v>0</v>
      </c>
    </row>
    <row r="193" spans="1:16" x14ac:dyDescent="0.25">
      <c r="C193" s="1" t="s">
        <v>333</v>
      </c>
      <c r="D193" s="1">
        <v>12</v>
      </c>
      <c r="E193" s="1">
        <v>130</v>
      </c>
      <c r="F193" s="1">
        <v>1560</v>
      </c>
      <c r="G193" s="5"/>
      <c r="H193" s="5"/>
      <c r="J193" s="5"/>
      <c r="O193" s="38"/>
      <c r="P193" s="18"/>
    </row>
    <row r="194" spans="1:16" x14ac:dyDescent="0.25">
      <c r="A194" s="1">
        <v>14193</v>
      </c>
      <c r="B194" s="1">
        <v>53420</v>
      </c>
      <c r="C194" s="1" t="s">
        <v>67</v>
      </c>
      <c r="G194" s="5">
        <v>61490</v>
      </c>
      <c r="H194" s="5">
        <v>61490</v>
      </c>
      <c r="I194" s="5">
        <v>61490</v>
      </c>
      <c r="J194" s="5">
        <f>[1]Expense!N124</f>
        <v>58105</v>
      </c>
      <c r="K194" s="5">
        <f>[1]Expense!I124</f>
        <v>68000</v>
      </c>
      <c r="L194" s="5">
        <f>[2]Expense!K108</f>
        <v>60435</v>
      </c>
      <c r="M194" s="5">
        <v>71672.800000000003</v>
      </c>
      <c r="N194" s="5">
        <v>66886.5</v>
      </c>
      <c r="O194" s="38">
        <f>(G194-K194)/K194</f>
        <v>-9.5735294117647057E-2</v>
      </c>
      <c r="P194" s="18">
        <f>G194-K194</f>
        <v>-6510</v>
      </c>
    </row>
    <row r="195" spans="1:16" x14ac:dyDescent="0.25">
      <c r="C195" s="1" t="s">
        <v>334</v>
      </c>
      <c r="D195" s="1">
        <v>1</v>
      </c>
      <c r="E195" s="1">
        <v>39290</v>
      </c>
      <c r="F195" s="1">
        <v>39290</v>
      </c>
      <c r="G195" s="5"/>
      <c r="H195" s="5"/>
      <c r="J195" s="5"/>
      <c r="O195" s="38"/>
      <c r="P195" s="18"/>
    </row>
    <row r="196" spans="1:16" x14ac:dyDescent="0.25">
      <c r="C196" s="1" t="s">
        <v>335</v>
      </c>
      <c r="D196" s="1">
        <v>1</v>
      </c>
      <c r="E196" s="1">
        <v>22200</v>
      </c>
      <c r="F196" s="1">
        <v>22200</v>
      </c>
      <c r="G196" s="5"/>
      <c r="H196" s="5"/>
      <c r="J196" s="5"/>
      <c r="O196" s="38"/>
      <c r="P196" s="18"/>
    </row>
    <row r="197" spans="1:16" x14ac:dyDescent="0.25">
      <c r="A197" s="1">
        <v>14193</v>
      </c>
      <c r="B197" s="1">
        <v>53421</v>
      </c>
      <c r="C197" s="1" t="s">
        <v>30</v>
      </c>
      <c r="G197" s="5">
        <v>1020</v>
      </c>
      <c r="H197" s="5">
        <v>1020</v>
      </c>
      <c r="I197" s="5">
        <v>1020</v>
      </c>
      <c r="J197" s="5">
        <f>[1]Expense!N125</f>
        <v>997</v>
      </c>
      <c r="K197" s="5">
        <f>[1]Expense!I125</f>
        <v>990</v>
      </c>
      <c r="L197" s="5">
        <f>[2]Expense!K109</f>
        <v>966.12</v>
      </c>
      <c r="M197" s="5">
        <v>947.31</v>
      </c>
      <c r="N197" s="5">
        <v>910.2</v>
      </c>
      <c r="O197" s="38">
        <f>(G197-K197)/K197</f>
        <v>3.0303030303030304E-2</v>
      </c>
      <c r="P197" s="18">
        <f>G197-K197</f>
        <v>30</v>
      </c>
    </row>
    <row r="198" spans="1:16" x14ac:dyDescent="0.25">
      <c r="C198" s="1" t="s">
        <v>336</v>
      </c>
      <c r="G198" s="5"/>
      <c r="H198" s="5"/>
      <c r="J198" s="5"/>
      <c r="O198" s="38"/>
      <c r="P198" s="18"/>
    </row>
    <row r="199" spans="1:16" x14ac:dyDescent="0.25">
      <c r="A199" s="1">
        <v>14193</v>
      </c>
      <c r="B199" s="1">
        <v>53422</v>
      </c>
      <c r="C199" s="1" t="s">
        <v>68</v>
      </c>
      <c r="G199" s="5">
        <v>39718</v>
      </c>
      <c r="H199" s="5">
        <v>39718</v>
      </c>
      <c r="I199" s="5">
        <v>39718</v>
      </c>
      <c r="J199" s="5">
        <f>[1]Expense!N126</f>
        <v>29490</v>
      </c>
      <c r="K199" s="5">
        <f>[1]Expense!I126</f>
        <v>33915</v>
      </c>
      <c r="L199" s="5">
        <f>[2]Expense!K110</f>
        <v>21990</v>
      </c>
      <c r="M199" s="5">
        <v>30115</v>
      </c>
      <c r="N199" s="5">
        <v>32045</v>
      </c>
      <c r="O199" s="38">
        <f>(G199-K199)/K199</f>
        <v>0.17110423116615067</v>
      </c>
      <c r="P199" s="18">
        <f>G199-K199</f>
        <v>5803</v>
      </c>
    </row>
    <row r="200" spans="1:16" x14ac:dyDescent="0.25">
      <c r="C200" s="1" t="s">
        <v>337</v>
      </c>
      <c r="G200" s="5"/>
      <c r="H200" s="5"/>
      <c r="O200" s="38"/>
      <c r="P200" s="18"/>
    </row>
    <row r="201" spans="1:16" x14ac:dyDescent="0.25">
      <c r="A201" s="1">
        <v>14193</v>
      </c>
      <c r="B201" s="1">
        <v>53423</v>
      </c>
      <c r="C201" s="1" t="s">
        <v>69</v>
      </c>
      <c r="G201" s="5">
        <v>4225</v>
      </c>
      <c r="H201" s="5">
        <v>4225</v>
      </c>
      <c r="I201" s="5">
        <v>4225</v>
      </c>
      <c r="J201" s="5">
        <f>[1]Expense!N127</f>
        <v>4016</v>
      </c>
      <c r="K201" s="5">
        <f>[1]Expense!I127</f>
        <v>4400</v>
      </c>
      <c r="L201" s="5">
        <f>[2]Expense!K111</f>
        <v>5037.8</v>
      </c>
      <c r="M201" s="5">
        <v>6271.01</v>
      </c>
      <c r="N201" s="5">
        <v>3770.25</v>
      </c>
      <c r="O201" s="38">
        <f>(G201-K201)/K201</f>
        <v>-3.9772727272727272E-2</v>
      </c>
      <c r="P201" s="18">
        <f>G201-K201</f>
        <v>-175</v>
      </c>
    </row>
    <row r="202" spans="1:16" x14ac:dyDescent="0.25">
      <c r="A202" s="1">
        <v>14193</v>
      </c>
      <c r="B202" s="1">
        <v>54353</v>
      </c>
      <c r="C202" s="1" t="s">
        <v>35</v>
      </c>
      <c r="G202" s="5">
        <v>1500</v>
      </c>
      <c r="H202" s="5">
        <v>1500</v>
      </c>
      <c r="I202" s="5">
        <v>1500</v>
      </c>
      <c r="J202" s="5">
        <f>[1]Expense!N128</f>
        <v>1270</v>
      </c>
      <c r="K202" s="5">
        <f>[1]Expense!I128</f>
        <v>1500</v>
      </c>
      <c r="L202" s="5">
        <f>[2]Expense!K112</f>
        <v>1276.79</v>
      </c>
      <c r="M202" s="5">
        <v>1830.19</v>
      </c>
      <c r="N202" s="5">
        <v>1826.16</v>
      </c>
      <c r="O202" s="38">
        <f>(G202-K202)/K202</f>
        <v>0</v>
      </c>
      <c r="P202" s="18">
        <f>G202-K202</f>
        <v>0</v>
      </c>
    </row>
    <row r="203" spans="1:16" x14ac:dyDescent="0.25">
      <c r="C203" s="1" t="s">
        <v>338</v>
      </c>
      <c r="D203" s="1">
        <v>12</v>
      </c>
      <c r="E203" s="1">
        <f>+F203/D203</f>
        <v>125</v>
      </c>
      <c r="F203" s="1">
        <v>1500</v>
      </c>
      <c r="G203" s="5"/>
      <c r="H203" s="5"/>
      <c r="J203" s="5"/>
      <c r="O203" s="38"/>
      <c r="P203" s="18"/>
    </row>
    <row r="204" spans="1:16" x14ac:dyDescent="0.25">
      <c r="A204" s="1">
        <v>14193</v>
      </c>
      <c r="B204" s="1">
        <v>54405</v>
      </c>
      <c r="C204" s="1" t="s">
        <v>70</v>
      </c>
      <c r="G204" s="5">
        <v>21216</v>
      </c>
      <c r="H204" s="5">
        <v>21216</v>
      </c>
      <c r="I204" s="5">
        <v>21216</v>
      </c>
      <c r="J204" s="5">
        <f>[1]Expense!N129</f>
        <v>21216</v>
      </c>
      <c r="K204" s="5">
        <f>[1]Expense!I129</f>
        <v>21216</v>
      </c>
      <c r="L204" s="5">
        <f>[2]Expense!K113</f>
        <v>28599</v>
      </c>
      <c r="M204" s="5">
        <v>28599</v>
      </c>
      <c r="N204" s="5">
        <v>28599</v>
      </c>
      <c r="O204" s="38">
        <f>(G204-K204)/K204</f>
        <v>0</v>
      </c>
      <c r="P204" s="18">
        <f>G204-K204</f>
        <v>0</v>
      </c>
    </row>
    <row r="205" spans="1:16" x14ac:dyDescent="0.25">
      <c r="C205" s="1" t="s">
        <v>339</v>
      </c>
      <c r="G205" s="5"/>
      <c r="H205" s="5"/>
      <c r="J205" s="5"/>
      <c r="O205" s="38"/>
      <c r="P205" s="18"/>
    </row>
    <row r="206" spans="1:16" x14ac:dyDescent="0.25">
      <c r="A206" s="1">
        <v>14193</v>
      </c>
      <c r="B206" s="1">
        <v>54800</v>
      </c>
      <c r="C206" s="1" t="s">
        <v>36</v>
      </c>
      <c r="G206" s="19">
        <v>6554</v>
      </c>
      <c r="H206" s="19">
        <v>6554</v>
      </c>
      <c r="I206" s="19">
        <v>6554</v>
      </c>
      <c r="J206" s="5">
        <f>[1]Expense!N130</f>
        <v>5564</v>
      </c>
      <c r="K206" s="5">
        <f>[1]Expense!I130</f>
        <v>5564</v>
      </c>
      <c r="L206" s="5">
        <f>[2]Expense!K114</f>
        <v>5057.74</v>
      </c>
      <c r="M206" s="5">
        <v>4726.84</v>
      </c>
      <c r="N206" s="5">
        <v>4417.6000000000004</v>
      </c>
      <c r="O206" s="38">
        <f>(G206-K206)/K206</f>
        <v>0.17792954708842559</v>
      </c>
      <c r="P206" s="18">
        <f>G206-K206</f>
        <v>990</v>
      </c>
    </row>
    <row r="207" spans="1:16" x14ac:dyDescent="0.25">
      <c r="A207" s="1">
        <v>14193</v>
      </c>
      <c r="B207" s="1">
        <v>55500</v>
      </c>
      <c r="C207" s="1" t="s">
        <v>37</v>
      </c>
      <c r="G207" s="5">
        <v>100</v>
      </c>
      <c r="H207" s="5">
        <v>100</v>
      </c>
      <c r="I207" s="5">
        <v>100</v>
      </c>
      <c r="J207" s="5">
        <f>[1]Expense!N131</f>
        <v>113</v>
      </c>
      <c r="K207" s="5">
        <f>[1]Expense!I131</f>
        <v>100</v>
      </c>
      <c r="L207" s="5">
        <f>[2]Expense!K115</f>
        <v>103.25</v>
      </c>
      <c r="M207" s="5">
        <v>182.58</v>
      </c>
      <c r="N207" s="5">
        <v>175.08</v>
      </c>
      <c r="O207" s="38">
        <f>(G207-K207)/K207</f>
        <v>0</v>
      </c>
      <c r="P207" s="18">
        <f>G207-K207</f>
        <v>0</v>
      </c>
    </row>
    <row r="208" spans="1:16" x14ac:dyDescent="0.25">
      <c r="C208" s="1" t="s">
        <v>340</v>
      </c>
      <c r="G208" s="5"/>
      <c r="H208" s="5"/>
      <c r="J208" s="5"/>
      <c r="O208" s="38"/>
      <c r="P208" s="18"/>
    </row>
    <row r="209" spans="1:16" x14ac:dyDescent="0.25">
      <c r="A209" s="1">
        <v>14193</v>
      </c>
      <c r="B209" s="1">
        <v>55600</v>
      </c>
      <c r="C209" s="1" t="s">
        <v>50</v>
      </c>
      <c r="G209" s="5">
        <v>310</v>
      </c>
      <c r="H209" s="5">
        <v>310</v>
      </c>
      <c r="I209" s="5">
        <v>310</v>
      </c>
      <c r="J209" s="5">
        <f>[1]Expense!N132</f>
        <v>310</v>
      </c>
      <c r="K209" s="5">
        <f>[1]Expense!I132</f>
        <v>310</v>
      </c>
      <c r="L209" s="5">
        <f>[2]Expense!K116</f>
        <v>310</v>
      </c>
      <c r="M209" s="5">
        <v>310</v>
      </c>
      <c r="N209" s="5">
        <v>310</v>
      </c>
      <c r="O209" s="38">
        <f>(G209-K209)/K209</f>
        <v>0</v>
      </c>
      <c r="P209" s="18">
        <f>G209-K209</f>
        <v>0</v>
      </c>
    </row>
    <row r="210" spans="1:16" x14ac:dyDescent="0.25">
      <c r="C210" s="1" t="s">
        <v>341</v>
      </c>
      <c r="D210" s="1">
        <v>1</v>
      </c>
      <c r="E210" s="1">
        <v>250</v>
      </c>
      <c r="F210" s="1">
        <v>250</v>
      </c>
      <c r="G210" s="5"/>
      <c r="H210" s="5"/>
      <c r="J210" s="5"/>
      <c r="O210" s="38"/>
      <c r="P210" s="18"/>
    </row>
    <row r="211" spans="1:16" x14ac:dyDescent="0.25">
      <c r="C211" s="1" t="s">
        <v>342</v>
      </c>
      <c r="D211" s="1">
        <v>1</v>
      </c>
      <c r="E211" s="1">
        <v>60</v>
      </c>
      <c r="F211" s="1">
        <v>60</v>
      </c>
      <c r="G211" s="5"/>
      <c r="H211" s="5"/>
      <c r="J211" s="5"/>
      <c r="O211" s="38"/>
      <c r="P211" s="18"/>
    </row>
    <row r="212" spans="1:16" x14ac:dyDescent="0.25">
      <c r="A212" s="1">
        <v>14193</v>
      </c>
      <c r="B212" s="1">
        <v>56100</v>
      </c>
      <c r="C212" s="1" t="s">
        <v>71</v>
      </c>
      <c r="G212" s="5">
        <v>1500</v>
      </c>
      <c r="H212" s="5">
        <v>1500</v>
      </c>
      <c r="I212" s="5">
        <v>1500</v>
      </c>
      <c r="J212" s="5">
        <f>[1]Expense!N133</f>
        <v>1302</v>
      </c>
      <c r="K212" s="5">
        <f>[1]Expense!I133</f>
        <v>1800</v>
      </c>
      <c r="L212" s="5">
        <f>[2]Expense!K117</f>
        <v>1787.77</v>
      </c>
      <c r="M212" s="5">
        <v>1649.26</v>
      </c>
      <c r="N212" s="5">
        <v>1804.1</v>
      </c>
      <c r="O212" s="38">
        <f>(G212-K212)/K212</f>
        <v>-0.16666666666666666</v>
      </c>
      <c r="P212" s="18">
        <f t="shared" ref="P212:P218" si="23">G212-K212</f>
        <v>-300</v>
      </c>
    </row>
    <row r="213" spans="1:16" x14ac:dyDescent="0.25">
      <c r="A213" s="1">
        <v>14193</v>
      </c>
      <c r="B213" s="1">
        <v>56110</v>
      </c>
      <c r="C213" s="1" t="s">
        <v>39</v>
      </c>
      <c r="G213" s="5"/>
      <c r="H213" s="5"/>
      <c r="J213" s="5"/>
      <c r="M213" s="5">
        <v>0</v>
      </c>
      <c r="N213" s="5">
        <v>426.06</v>
      </c>
      <c r="O213" s="38"/>
      <c r="P213" s="18">
        <f t="shared" si="23"/>
        <v>0</v>
      </c>
    </row>
    <row r="214" spans="1:16" x14ac:dyDescent="0.25">
      <c r="A214" s="1">
        <v>14193</v>
      </c>
      <c r="B214" s="1">
        <v>56130</v>
      </c>
      <c r="C214" s="1" t="s">
        <v>11</v>
      </c>
      <c r="G214" s="5">
        <v>200</v>
      </c>
      <c r="H214" s="5">
        <v>200</v>
      </c>
      <c r="I214" s="5">
        <v>200</v>
      </c>
      <c r="J214" s="5">
        <f>[1]Expense!N134</f>
        <v>89</v>
      </c>
      <c r="K214" s="5">
        <f>[1]Expense!I134</f>
        <v>200</v>
      </c>
      <c r="L214" s="5">
        <f>[2]Expense!K118</f>
        <v>110.22</v>
      </c>
      <c r="M214" s="5">
        <v>0</v>
      </c>
      <c r="N214" s="5">
        <v>0</v>
      </c>
      <c r="O214" s="38">
        <f>(G214-K214)/K214</f>
        <v>0</v>
      </c>
      <c r="P214" s="18">
        <f t="shared" si="23"/>
        <v>0</v>
      </c>
    </row>
    <row r="215" spans="1:16" x14ac:dyDescent="0.25">
      <c r="A215" s="1">
        <v>14193</v>
      </c>
      <c r="B215" s="1">
        <v>56200</v>
      </c>
      <c r="C215" s="1" t="s">
        <v>40</v>
      </c>
      <c r="G215" s="5">
        <v>300</v>
      </c>
      <c r="H215" s="5">
        <v>300</v>
      </c>
      <c r="I215" s="5">
        <v>300</v>
      </c>
      <c r="J215" s="5">
        <f>[1]Expense!N135</f>
        <v>352</v>
      </c>
      <c r="K215" s="5">
        <f>[1]Expense!I135</f>
        <v>400</v>
      </c>
      <c r="L215" s="5">
        <f>[2]Expense!K119</f>
        <v>357.54</v>
      </c>
      <c r="M215" s="5">
        <v>0</v>
      </c>
      <c r="N215" s="5">
        <v>30.71</v>
      </c>
      <c r="O215" s="38">
        <f>(G215-K215)/K215</f>
        <v>-0.25</v>
      </c>
      <c r="P215" s="18">
        <f t="shared" si="23"/>
        <v>-100</v>
      </c>
    </row>
    <row r="216" spans="1:16" x14ac:dyDescent="0.25">
      <c r="A216" s="1">
        <v>14193</v>
      </c>
      <c r="B216" s="1">
        <v>56250</v>
      </c>
      <c r="C216" s="1" t="s">
        <v>41</v>
      </c>
      <c r="G216" s="46">
        <v>1200</v>
      </c>
      <c r="H216" s="5">
        <v>1610</v>
      </c>
      <c r="I216" s="5">
        <v>1610</v>
      </c>
      <c r="J216" s="5">
        <f>[1]Expense!N136</f>
        <v>869</v>
      </c>
      <c r="K216" s="5">
        <f>[1]Expense!I136</f>
        <v>1850</v>
      </c>
      <c r="L216" s="5">
        <f>[2]Expense!K120</f>
        <v>1163.6199999999999</v>
      </c>
      <c r="M216" s="5">
        <v>357.79</v>
      </c>
      <c r="N216" s="5">
        <v>720.01</v>
      </c>
      <c r="O216" s="38">
        <f>(G216-K216)/K216</f>
        <v>-0.35135135135135137</v>
      </c>
      <c r="P216" s="18">
        <f t="shared" si="23"/>
        <v>-650</v>
      </c>
    </row>
    <row r="217" spans="1:16" x14ac:dyDescent="0.25">
      <c r="A217" s="1">
        <v>14193</v>
      </c>
      <c r="B217" s="1">
        <v>56680</v>
      </c>
      <c r="C217" s="1" t="s">
        <v>43</v>
      </c>
      <c r="G217" s="19"/>
      <c r="J217" s="5"/>
      <c r="L217" s="5">
        <f>[2]Expense!K121</f>
        <v>3625</v>
      </c>
      <c r="M217" s="5">
        <v>1780.49</v>
      </c>
      <c r="N217" s="5">
        <v>2576.4499999999998</v>
      </c>
      <c r="O217" s="38"/>
      <c r="P217" s="18">
        <f t="shared" si="23"/>
        <v>0</v>
      </c>
    </row>
    <row r="218" spans="1:16" s="8" customFormat="1" x14ac:dyDescent="0.25">
      <c r="A218" s="8" t="s">
        <v>12</v>
      </c>
      <c r="B218" s="8" t="s">
        <v>72</v>
      </c>
      <c r="G218" s="21">
        <f t="shared" ref="G218" si="24">SUM(G180:G217)</f>
        <v>451526</v>
      </c>
      <c r="H218" s="21">
        <f t="shared" ref="H218:N218" si="25">SUM(H180:H217)</f>
        <v>451936</v>
      </c>
      <c r="I218" s="9">
        <f t="shared" si="25"/>
        <v>451936</v>
      </c>
      <c r="J218" s="9">
        <f>SUM(J180:J216)</f>
        <v>413515</v>
      </c>
      <c r="K218" s="9">
        <f>SUM(K180:K216)</f>
        <v>446382.6</v>
      </c>
      <c r="L218" s="9">
        <f t="shared" si="25"/>
        <v>393691.09999999992</v>
      </c>
      <c r="M218" s="9">
        <f t="shared" si="25"/>
        <v>389934.72000000009</v>
      </c>
      <c r="N218" s="9">
        <f t="shared" si="25"/>
        <v>408334.09</v>
      </c>
      <c r="O218" s="39">
        <f>(G218-K218)/K218</f>
        <v>1.1522402530923077E-2</v>
      </c>
      <c r="P218" s="40">
        <f t="shared" si="23"/>
        <v>5143.4000000000233</v>
      </c>
    </row>
    <row r="219" spans="1:16" x14ac:dyDescent="0.25">
      <c r="G219" s="19"/>
      <c r="L219" s="9"/>
      <c r="O219" s="38"/>
      <c r="P219" s="18"/>
    </row>
    <row r="220" spans="1:16" s="8" customFormat="1" x14ac:dyDescent="0.25">
      <c r="A220" s="8">
        <v>14194</v>
      </c>
      <c r="B220" s="8" t="s">
        <v>73</v>
      </c>
      <c r="G220" s="21"/>
      <c r="H220" s="21"/>
      <c r="I220" s="9"/>
      <c r="J220" s="1"/>
      <c r="K220" s="5"/>
      <c r="L220" s="5"/>
      <c r="M220" s="9"/>
      <c r="N220" s="9"/>
      <c r="O220" s="38"/>
      <c r="P220" s="18"/>
    </row>
    <row r="221" spans="1:16" x14ac:dyDescent="0.25">
      <c r="A221" s="1">
        <v>14194</v>
      </c>
      <c r="B221" s="1">
        <v>51100</v>
      </c>
      <c r="C221" s="1" t="s">
        <v>15</v>
      </c>
      <c r="G221" s="5">
        <v>313100</v>
      </c>
      <c r="H221" s="5">
        <v>313100</v>
      </c>
      <c r="I221" s="5">
        <v>313100</v>
      </c>
      <c r="J221" s="5">
        <f>[1]Expense!N141</f>
        <v>258773</v>
      </c>
      <c r="K221" s="5">
        <f>[1]Expense!I141</f>
        <v>284000</v>
      </c>
      <c r="L221" s="5">
        <f>[2]Expense!K125</f>
        <v>202451.7</v>
      </c>
      <c r="M221" s="5">
        <v>203123.08</v>
      </c>
      <c r="N221" s="5">
        <v>197776.77</v>
      </c>
      <c r="O221" s="38">
        <f t="shared" ref="O221" si="26">(G221-K221)/K221</f>
        <v>0.10246478873239437</v>
      </c>
      <c r="P221" s="18">
        <f t="shared" ref="P221" si="27">G221-K221</f>
        <v>29100</v>
      </c>
    </row>
    <row r="222" spans="1:16" x14ac:dyDescent="0.25">
      <c r="A222" s="1">
        <v>14194</v>
      </c>
      <c r="B222" s="1">
        <v>51200</v>
      </c>
      <c r="C222" s="1" t="s">
        <v>16</v>
      </c>
      <c r="G222" s="5"/>
      <c r="H222" s="5"/>
      <c r="J222" s="5"/>
      <c r="L222" s="5">
        <f>[2]Expense!K126</f>
        <v>172.5</v>
      </c>
      <c r="M222" s="5">
        <v>0</v>
      </c>
      <c r="N222" s="5">
        <v>0</v>
      </c>
      <c r="O222" s="38"/>
      <c r="P222" s="18"/>
    </row>
    <row r="223" spans="1:16" x14ac:dyDescent="0.25">
      <c r="A223" s="1">
        <v>14194</v>
      </c>
      <c r="B223" s="1">
        <v>51400</v>
      </c>
      <c r="C223" s="1" t="s">
        <v>18</v>
      </c>
      <c r="G223" s="5">
        <v>3500</v>
      </c>
      <c r="H223" s="5">
        <v>3500</v>
      </c>
      <c r="I223" s="5">
        <v>3500</v>
      </c>
      <c r="J223" s="5">
        <f>[1]Expense!N142</f>
        <v>5769</v>
      </c>
      <c r="K223" s="5">
        <f>[1]Expense!I142</f>
        <v>2500</v>
      </c>
      <c r="L223" s="5">
        <f>[2]Expense!K127</f>
        <v>1797.73</v>
      </c>
      <c r="M223" s="5">
        <v>1581.31</v>
      </c>
      <c r="N223" s="5">
        <v>1652.73</v>
      </c>
      <c r="O223" s="38">
        <f>(G223-K223)/K223</f>
        <v>0.4</v>
      </c>
      <c r="P223" s="18">
        <f>G223-K223</f>
        <v>1000</v>
      </c>
    </row>
    <row r="224" spans="1:16" x14ac:dyDescent="0.25">
      <c r="A224" s="1">
        <v>14194</v>
      </c>
      <c r="B224" s="1">
        <v>51500</v>
      </c>
      <c r="C224" s="1" t="s">
        <v>74</v>
      </c>
      <c r="G224" s="5">
        <v>6000</v>
      </c>
      <c r="H224" s="5">
        <v>6000</v>
      </c>
      <c r="I224" s="5">
        <v>6000</v>
      </c>
      <c r="J224" s="5">
        <f>[1]Expense!N143</f>
        <v>4154</v>
      </c>
      <c r="K224" s="5">
        <f>[1]Expense!I143</f>
        <v>4975</v>
      </c>
      <c r="L224" s="5">
        <f>[2]Expense!K128</f>
        <v>1354.5</v>
      </c>
      <c r="M224" s="5">
        <v>0</v>
      </c>
      <c r="N224" s="5">
        <v>413.66</v>
      </c>
      <c r="O224" s="38">
        <f t="shared" ref="O224:O285" si="28">(G224-K224)/K224</f>
        <v>0.20603015075376885</v>
      </c>
      <c r="P224" s="18">
        <f t="shared" ref="P224:P285" si="29">G224-K224</f>
        <v>1025</v>
      </c>
    </row>
    <row r="225" spans="1:17" x14ac:dyDescent="0.25">
      <c r="A225" s="1">
        <v>14194</v>
      </c>
      <c r="B225" s="1">
        <v>51510</v>
      </c>
      <c r="C225" s="1" t="s">
        <v>20</v>
      </c>
      <c r="G225" s="5"/>
      <c r="H225" s="5"/>
      <c r="J225" s="5"/>
      <c r="M225" s="5">
        <v>1700.36</v>
      </c>
      <c r="N225" s="5">
        <v>1277.98</v>
      </c>
      <c r="O225" s="38"/>
      <c r="P225" s="18"/>
    </row>
    <row r="226" spans="1:17" x14ac:dyDescent="0.25">
      <c r="A226" s="1">
        <v>14194</v>
      </c>
      <c r="B226" s="1">
        <v>51520</v>
      </c>
      <c r="C226" s="1" t="s">
        <v>21</v>
      </c>
      <c r="G226" s="5">
        <v>700</v>
      </c>
      <c r="H226" s="5">
        <v>700</v>
      </c>
      <c r="I226" s="5">
        <v>700</v>
      </c>
      <c r="J226" s="5">
        <f>[1]Expense!N144</f>
        <v>600</v>
      </c>
      <c r="K226" s="5">
        <f>[1]Expense!I144</f>
        <v>600</v>
      </c>
      <c r="L226" s="5">
        <f>[2]Expense!K129</f>
        <v>560</v>
      </c>
      <c r="M226" s="5">
        <v>660</v>
      </c>
      <c r="N226" s="5">
        <v>380</v>
      </c>
      <c r="O226" s="38">
        <f t="shared" si="28"/>
        <v>0.16666666666666666</v>
      </c>
      <c r="P226" s="18">
        <f t="shared" si="29"/>
        <v>100</v>
      </c>
    </row>
    <row r="227" spans="1:17" x14ac:dyDescent="0.25">
      <c r="A227" s="1">
        <v>14194</v>
      </c>
      <c r="B227" s="1">
        <v>52100</v>
      </c>
      <c r="C227" s="1" t="s">
        <v>22</v>
      </c>
      <c r="G227" s="5">
        <v>75275</v>
      </c>
      <c r="H227" s="5">
        <v>75275</v>
      </c>
      <c r="I227" s="5">
        <v>75275</v>
      </c>
      <c r="J227" s="5">
        <f>[1]Expense!N145</f>
        <v>63547</v>
      </c>
      <c r="K227" s="5">
        <f>[1]Expense!I145</f>
        <v>80800</v>
      </c>
      <c r="L227" s="5">
        <f>[2]Expense!K130</f>
        <v>53888</v>
      </c>
      <c r="M227" s="5">
        <v>80140.639999999999</v>
      </c>
      <c r="N227" s="5">
        <v>68744.08</v>
      </c>
      <c r="O227" s="38">
        <f t="shared" si="28"/>
        <v>-6.8378712871287134E-2</v>
      </c>
      <c r="P227" s="18">
        <f t="shared" si="29"/>
        <v>-5525</v>
      </c>
    </row>
    <row r="228" spans="1:17" x14ac:dyDescent="0.25">
      <c r="A228" s="1">
        <v>14194</v>
      </c>
      <c r="B228" s="1">
        <v>52140</v>
      </c>
      <c r="C228" s="1" t="s">
        <v>23</v>
      </c>
      <c r="G228" s="49">
        <v>1753</v>
      </c>
      <c r="H228" s="19">
        <v>585</v>
      </c>
      <c r="I228" s="19">
        <v>585</v>
      </c>
      <c r="J228" s="5">
        <f>[1]Expense!N146</f>
        <v>326</v>
      </c>
      <c r="K228" s="5">
        <f>[1]Expense!I146</f>
        <v>474.3</v>
      </c>
      <c r="O228" s="38">
        <f t="shared" si="28"/>
        <v>2.6959730128610584</v>
      </c>
      <c r="P228" s="18">
        <f t="shared" si="29"/>
        <v>1278.7</v>
      </c>
    </row>
    <row r="229" spans="1:17" x14ac:dyDescent="0.25">
      <c r="A229" s="1">
        <v>14194</v>
      </c>
      <c r="B229" s="1">
        <v>52200</v>
      </c>
      <c r="C229" s="1" t="s">
        <v>24</v>
      </c>
      <c r="G229" s="5">
        <v>24600</v>
      </c>
      <c r="H229" s="5">
        <v>24600</v>
      </c>
      <c r="I229" s="5">
        <v>24600</v>
      </c>
      <c r="J229" s="5">
        <f>[1]Expense!N147</f>
        <v>19838</v>
      </c>
      <c r="K229" s="5">
        <f>[1]Expense!I147</f>
        <v>22400</v>
      </c>
      <c r="L229" s="5">
        <f>[2]Expense!K131</f>
        <v>15259.85</v>
      </c>
      <c r="M229" s="5">
        <v>15180.08</v>
      </c>
      <c r="N229" s="5">
        <v>14786.53</v>
      </c>
      <c r="O229" s="38">
        <f t="shared" si="28"/>
        <v>9.8214285714285712E-2</v>
      </c>
      <c r="P229" s="18">
        <f t="shared" si="29"/>
        <v>2200</v>
      </c>
    </row>
    <row r="230" spans="1:17" x14ac:dyDescent="0.25">
      <c r="A230" s="1">
        <v>14194</v>
      </c>
      <c r="B230" s="1">
        <v>52230</v>
      </c>
      <c r="C230" s="1" t="s">
        <v>25</v>
      </c>
      <c r="G230" s="5">
        <v>43500</v>
      </c>
      <c r="H230" s="5">
        <v>43500</v>
      </c>
      <c r="I230" s="5">
        <v>43500</v>
      </c>
      <c r="J230" s="5">
        <f>[1]Expense!N148</f>
        <v>37035</v>
      </c>
      <c r="K230" s="5">
        <f>[1]Expense!I148</f>
        <v>40300</v>
      </c>
      <c r="L230" s="5">
        <f>[2]Expense!K132</f>
        <v>28645.47</v>
      </c>
      <c r="M230" s="5">
        <v>26132.27</v>
      </c>
      <c r="N230" s="5">
        <v>22461.82</v>
      </c>
      <c r="O230" s="38">
        <f t="shared" si="28"/>
        <v>7.9404466501240695E-2</v>
      </c>
      <c r="P230" s="18">
        <f t="shared" si="29"/>
        <v>3200</v>
      </c>
    </row>
    <row r="231" spans="1:17" x14ac:dyDescent="0.25">
      <c r="A231" s="1">
        <v>14194</v>
      </c>
      <c r="B231" s="1">
        <v>52250</v>
      </c>
      <c r="C231" s="1" t="s">
        <v>26</v>
      </c>
      <c r="G231" s="19">
        <v>207</v>
      </c>
      <c r="H231" s="19">
        <v>207</v>
      </c>
      <c r="I231" s="19">
        <v>207</v>
      </c>
      <c r="J231" s="5">
        <f>[1]Expense!N149</f>
        <v>107.42</v>
      </c>
      <c r="K231" s="5">
        <f>[1]Expense!I149</f>
        <v>108</v>
      </c>
      <c r="L231" s="5">
        <f>[2]Expense!K133</f>
        <v>119.25</v>
      </c>
      <c r="M231" s="5">
        <v>200.43</v>
      </c>
      <c r="N231" s="5">
        <v>200.43</v>
      </c>
      <c r="O231" s="38">
        <f t="shared" si="28"/>
        <v>0.91666666666666663</v>
      </c>
      <c r="P231" s="18">
        <f t="shared" si="29"/>
        <v>99</v>
      </c>
    </row>
    <row r="232" spans="1:17" x14ac:dyDescent="0.25">
      <c r="A232" s="1">
        <v>14194</v>
      </c>
      <c r="B232" s="1">
        <v>52260</v>
      </c>
      <c r="C232" s="1" t="s">
        <v>27</v>
      </c>
      <c r="G232" s="19">
        <v>6358</v>
      </c>
      <c r="H232" s="19">
        <v>6358</v>
      </c>
      <c r="I232" s="19">
        <v>6358</v>
      </c>
      <c r="J232" s="5">
        <v>7292</v>
      </c>
      <c r="K232" s="5">
        <v>7293</v>
      </c>
      <c r="L232" s="5">
        <f>[2]Expense!K134</f>
        <v>8290</v>
      </c>
      <c r="M232" s="5">
        <v>4898</v>
      </c>
      <c r="N232" s="5">
        <v>5695</v>
      </c>
      <c r="O232" s="38">
        <f t="shared" si="28"/>
        <v>-0.12820512820512819</v>
      </c>
      <c r="P232" s="18">
        <f t="shared" si="29"/>
        <v>-935</v>
      </c>
      <c r="Q232" s="18">
        <f>SUM(P221:P232)</f>
        <v>31542.7</v>
      </c>
    </row>
    <row r="233" spans="1:17" x14ac:dyDescent="0.25">
      <c r="A233" s="1">
        <v>14194</v>
      </c>
      <c r="B233" s="1">
        <v>53320</v>
      </c>
      <c r="C233" s="1" t="s">
        <v>75</v>
      </c>
      <c r="G233" s="5"/>
      <c r="H233" s="5"/>
      <c r="J233" s="5"/>
      <c r="L233" s="5">
        <f>[2]Expense!K135</f>
        <v>10144</v>
      </c>
      <c r="M233" s="5">
        <v>12362.67</v>
      </c>
      <c r="N233" s="5">
        <v>12064</v>
      </c>
      <c r="O233" s="38"/>
      <c r="P233" s="18"/>
    </row>
    <row r="234" spans="1:17" x14ac:dyDescent="0.25">
      <c r="A234" s="1">
        <v>14194</v>
      </c>
      <c r="B234" s="1">
        <v>53360</v>
      </c>
      <c r="C234" s="1" t="s">
        <v>225</v>
      </c>
      <c r="G234" s="5">
        <v>3100</v>
      </c>
      <c r="H234" s="5">
        <v>3100</v>
      </c>
      <c r="I234" s="5">
        <v>3100</v>
      </c>
      <c r="J234" s="5">
        <f>201.65+1606</f>
        <v>1807.65</v>
      </c>
      <c r="O234" s="38" t="e">
        <f t="shared" si="28"/>
        <v>#DIV/0!</v>
      </c>
      <c r="P234" s="18">
        <f t="shared" si="29"/>
        <v>3100</v>
      </c>
    </row>
    <row r="235" spans="1:17" x14ac:dyDescent="0.25">
      <c r="C235" s="1" t="s">
        <v>343</v>
      </c>
      <c r="D235" s="1">
        <v>1</v>
      </c>
      <c r="E235" s="1">
        <v>2600</v>
      </c>
      <c r="F235" s="1">
        <v>2600</v>
      </c>
      <c r="G235" s="19"/>
      <c r="J235" s="5"/>
      <c r="O235" s="38"/>
      <c r="P235" s="18"/>
    </row>
    <row r="236" spans="1:17" x14ac:dyDescent="0.25">
      <c r="C236" s="1" t="s">
        <v>344</v>
      </c>
      <c r="G236" s="19"/>
      <c r="J236" s="5"/>
      <c r="O236" s="38"/>
      <c r="P236" s="18"/>
    </row>
    <row r="237" spans="1:17" x14ac:dyDescent="0.25">
      <c r="C237" s="1" t="s">
        <v>345</v>
      </c>
      <c r="D237" s="1">
        <v>1</v>
      </c>
      <c r="E237" s="1">
        <v>500</v>
      </c>
      <c r="F237" s="1">
        <v>500</v>
      </c>
      <c r="G237" s="19"/>
      <c r="J237" s="5">
        <f>[1]Expense!N152</f>
        <v>0</v>
      </c>
      <c r="K237" s="5">
        <f>[1]Expense!I152</f>
        <v>0</v>
      </c>
      <c r="O237" s="38"/>
      <c r="P237" s="18"/>
    </row>
    <row r="238" spans="1:17" x14ac:dyDescent="0.25">
      <c r="A238" s="1">
        <v>14194</v>
      </c>
      <c r="B238" s="1">
        <v>53410</v>
      </c>
      <c r="C238" s="1" t="s">
        <v>29</v>
      </c>
      <c r="G238" s="5">
        <f>4920</f>
        <v>4920</v>
      </c>
      <c r="H238" s="5">
        <f>4920</f>
        <v>4920</v>
      </c>
      <c r="I238" s="5">
        <f>4920</f>
        <v>4920</v>
      </c>
      <c r="J238" s="5">
        <f>[1]Expense!N153</f>
        <v>3261.09</v>
      </c>
      <c r="K238" s="5">
        <f>[1]Expense!I153</f>
        <v>2880</v>
      </c>
      <c r="L238" s="5">
        <f>[2]Expense!K136</f>
        <v>2715.07</v>
      </c>
      <c r="M238" s="5">
        <v>2633.87</v>
      </c>
      <c r="N238" s="5">
        <v>2690.42</v>
      </c>
      <c r="O238" s="38">
        <f>(G238-K238)/K238</f>
        <v>0.70833333333333337</v>
      </c>
      <c r="P238" s="18">
        <f t="shared" si="29"/>
        <v>2040</v>
      </c>
    </row>
    <row r="239" spans="1:17" x14ac:dyDescent="0.25">
      <c r="C239" s="1" t="s">
        <v>346</v>
      </c>
      <c r="D239" s="1">
        <v>12</v>
      </c>
      <c r="E239" s="1">
        <v>150</v>
      </c>
      <c r="F239" s="1">
        <v>1800</v>
      </c>
      <c r="G239" s="5"/>
      <c r="H239" s="5"/>
      <c r="J239" s="5"/>
      <c r="O239" s="38"/>
      <c r="P239" s="18"/>
    </row>
    <row r="240" spans="1:17" x14ac:dyDescent="0.25">
      <c r="C240" s="1" t="s">
        <v>347</v>
      </c>
      <c r="D240" s="1">
        <v>4</v>
      </c>
      <c r="E240" s="1">
        <v>780</v>
      </c>
      <c r="F240" s="1">
        <v>3120</v>
      </c>
      <c r="G240" s="5"/>
      <c r="H240" s="5"/>
      <c r="J240" s="5"/>
      <c r="O240" s="38"/>
      <c r="P240" s="18"/>
    </row>
    <row r="241" spans="1:16" x14ac:dyDescent="0.25">
      <c r="A241" s="1">
        <v>14194</v>
      </c>
      <c r="B241" s="1">
        <v>53412</v>
      </c>
      <c r="C241" s="1" t="s">
        <v>76</v>
      </c>
      <c r="G241" s="5">
        <f>SUM(F242:F244)</f>
        <v>12750</v>
      </c>
      <c r="H241" s="5">
        <f>SUM(F242:F244)</f>
        <v>12750</v>
      </c>
      <c r="I241" s="5">
        <f>SUM(F242:F244)</f>
        <v>12750</v>
      </c>
      <c r="J241" s="5">
        <f>[1]Expense!$J$154</f>
        <v>11576.82</v>
      </c>
      <c r="K241" s="5">
        <f>[1]Expense!I154</f>
        <v>12750</v>
      </c>
      <c r="L241" s="5">
        <f>[2]Expense!K137</f>
        <v>6988.78</v>
      </c>
      <c r="M241" s="5">
        <v>6406.39</v>
      </c>
      <c r="N241" s="5">
        <v>6728.4</v>
      </c>
      <c r="O241" s="38">
        <f t="shared" si="28"/>
        <v>0</v>
      </c>
      <c r="P241" s="18">
        <f t="shared" si="29"/>
        <v>0</v>
      </c>
    </row>
    <row r="242" spans="1:16" x14ac:dyDescent="0.25">
      <c r="C242" s="1" t="s">
        <v>348</v>
      </c>
      <c r="D242" s="1">
        <v>12</v>
      </c>
      <c r="E242" s="1">
        <v>350</v>
      </c>
      <c r="F242" s="1">
        <v>4200</v>
      </c>
      <c r="G242" s="19"/>
      <c r="J242" s="5"/>
      <c r="O242" s="38"/>
      <c r="P242" s="18"/>
    </row>
    <row r="243" spans="1:16" x14ac:dyDescent="0.25">
      <c r="C243" s="1" t="s">
        <v>349</v>
      </c>
      <c r="D243" s="1">
        <v>12</v>
      </c>
      <c r="E243" s="1">
        <v>300</v>
      </c>
      <c r="F243" s="1">
        <v>3600</v>
      </c>
      <c r="G243" s="19"/>
      <c r="J243" s="5"/>
      <c r="O243" s="38"/>
      <c r="P243" s="18"/>
    </row>
    <row r="244" spans="1:16" x14ac:dyDescent="0.25">
      <c r="C244" s="1" t="s">
        <v>350</v>
      </c>
      <c r="D244" s="1">
        <v>1</v>
      </c>
      <c r="E244" s="1">
        <v>4950</v>
      </c>
      <c r="F244" s="1">
        <v>4950</v>
      </c>
      <c r="G244" s="19"/>
      <c r="J244" s="5"/>
      <c r="O244" s="38"/>
      <c r="P244" s="18"/>
    </row>
    <row r="245" spans="1:16" x14ac:dyDescent="0.25">
      <c r="A245" s="1">
        <v>14194</v>
      </c>
      <c r="B245" s="1">
        <v>53420</v>
      </c>
      <c r="C245" s="1" t="s">
        <v>77</v>
      </c>
      <c r="G245" s="19"/>
      <c r="J245" s="5">
        <f>([1]Expense!N155)-26331.47</f>
        <v>865</v>
      </c>
      <c r="K245" s="5">
        <f>[1]Expense!I155</f>
        <v>25875</v>
      </c>
      <c r="L245" s="5">
        <f>[2]Expense!K138</f>
        <v>26754.18</v>
      </c>
      <c r="M245" s="5">
        <v>19891.16</v>
      </c>
      <c r="N245" s="5">
        <v>20348.25</v>
      </c>
      <c r="O245" s="38">
        <f t="shared" si="28"/>
        <v>-1</v>
      </c>
      <c r="P245" s="18">
        <f t="shared" si="29"/>
        <v>-25875</v>
      </c>
    </row>
    <row r="246" spans="1:16" x14ac:dyDescent="0.25">
      <c r="A246" s="1">
        <v>14194</v>
      </c>
      <c r="B246" s="1">
        <v>53600</v>
      </c>
      <c r="C246" s="1" t="s">
        <v>78</v>
      </c>
      <c r="G246" s="19"/>
      <c r="J246" s="5">
        <f>[1]Expense!N156</f>
        <v>6701</v>
      </c>
      <c r="K246" s="5">
        <f>[1]Expense!I156</f>
        <v>4800</v>
      </c>
      <c r="L246" s="5">
        <f>[2]Expense!K139</f>
        <v>5996.45</v>
      </c>
      <c r="M246" s="5">
        <v>3828.07</v>
      </c>
      <c r="N246" s="5">
        <v>3871.17</v>
      </c>
      <c r="O246" s="38">
        <f t="shared" si="28"/>
        <v>-1</v>
      </c>
      <c r="P246" s="18">
        <f t="shared" si="29"/>
        <v>-4800</v>
      </c>
    </row>
    <row r="247" spans="1:16" x14ac:dyDescent="0.25">
      <c r="A247" s="1">
        <v>14194</v>
      </c>
      <c r="B247" s="1">
        <v>54100</v>
      </c>
      <c r="C247" s="1" t="s">
        <v>79</v>
      </c>
      <c r="G247" s="50">
        <v>190000</v>
      </c>
      <c r="H247" s="5">
        <v>200000</v>
      </c>
      <c r="I247" s="5">
        <v>200000</v>
      </c>
      <c r="J247" s="5">
        <f>[1]Expense!N157</f>
        <v>185851</v>
      </c>
      <c r="K247" s="5">
        <f>[1]Expense!I157</f>
        <v>195000</v>
      </c>
      <c r="L247" s="5">
        <f>[2]Expense!K140</f>
        <v>117255.88</v>
      </c>
      <c r="M247" s="5">
        <v>134756.89000000001</v>
      </c>
      <c r="N247" s="5">
        <v>125834.38</v>
      </c>
      <c r="O247" s="38">
        <f t="shared" si="28"/>
        <v>-2.564102564102564E-2</v>
      </c>
      <c r="P247" s="18">
        <f t="shared" si="29"/>
        <v>-5000</v>
      </c>
    </row>
    <row r="248" spans="1:16" x14ac:dyDescent="0.25">
      <c r="A248" s="1">
        <v>14194</v>
      </c>
      <c r="B248" s="1">
        <v>54110</v>
      </c>
      <c r="C248" s="1" t="s">
        <v>80</v>
      </c>
      <c r="G248" s="50">
        <v>93000</v>
      </c>
      <c r="H248" s="5">
        <v>115000</v>
      </c>
      <c r="I248" s="5">
        <v>115000</v>
      </c>
      <c r="J248" s="5">
        <f>[1]Expense!N158</f>
        <v>87289</v>
      </c>
      <c r="K248" s="5">
        <f>[1]Expense!I158</f>
        <v>93000</v>
      </c>
      <c r="L248" s="5">
        <f>[2]Expense!K141</f>
        <v>71723.820000000007</v>
      </c>
      <c r="M248" s="5">
        <v>71993.02</v>
      </c>
      <c r="N248" s="5">
        <v>69536.92</v>
      </c>
      <c r="O248" s="38">
        <f t="shared" si="28"/>
        <v>0</v>
      </c>
      <c r="P248" s="18">
        <f t="shared" si="29"/>
        <v>0</v>
      </c>
    </row>
    <row r="249" spans="1:16" x14ac:dyDescent="0.25">
      <c r="C249" s="1" t="s">
        <v>351</v>
      </c>
      <c r="G249" s="5"/>
      <c r="H249" s="5"/>
      <c r="J249" s="5"/>
      <c r="O249" s="38"/>
      <c r="P249" s="18"/>
    </row>
    <row r="250" spans="1:16" x14ac:dyDescent="0.25">
      <c r="A250" s="1">
        <v>14194</v>
      </c>
      <c r="B250" s="1">
        <v>54120</v>
      </c>
      <c r="C250" s="1" t="s">
        <v>81</v>
      </c>
      <c r="G250" s="50">
        <v>36000</v>
      </c>
      <c r="H250" s="5">
        <v>40000</v>
      </c>
      <c r="I250" s="5">
        <v>40000</v>
      </c>
      <c r="J250" s="5">
        <f>[1]Expense!N159</f>
        <v>31019</v>
      </c>
      <c r="K250" s="5">
        <f>[1]Expense!I159</f>
        <v>33620</v>
      </c>
      <c r="L250" s="5">
        <f>[2]Expense!K142</f>
        <v>31855.65</v>
      </c>
      <c r="M250" s="5">
        <v>31636.37</v>
      </c>
      <c r="N250" s="5">
        <v>29768.25</v>
      </c>
      <c r="O250" s="38">
        <f t="shared" si="28"/>
        <v>7.0791195716835217E-2</v>
      </c>
      <c r="P250" s="18">
        <f t="shared" si="29"/>
        <v>2380</v>
      </c>
    </row>
    <row r="251" spans="1:16" x14ac:dyDescent="0.25">
      <c r="C251" s="1" t="s">
        <v>352</v>
      </c>
      <c r="G251" s="5"/>
      <c r="H251" s="5"/>
      <c r="J251" s="5"/>
      <c r="O251" s="38"/>
      <c r="P251" s="18"/>
    </row>
    <row r="252" spans="1:16" x14ac:dyDescent="0.25">
      <c r="C252" s="1" t="s">
        <v>353</v>
      </c>
      <c r="G252" s="5"/>
      <c r="H252" s="5"/>
      <c r="J252" s="5"/>
      <c r="O252" s="38"/>
      <c r="P252" s="18"/>
    </row>
    <row r="253" spans="1:16" x14ac:dyDescent="0.25">
      <c r="A253" s="1">
        <v>14194</v>
      </c>
      <c r="B253" s="1">
        <v>54305</v>
      </c>
      <c r="C253" s="1" t="s">
        <v>82</v>
      </c>
      <c r="G253" s="5">
        <v>27500</v>
      </c>
      <c r="H253" s="5">
        <v>27500</v>
      </c>
      <c r="I253" s="5">
        <v>27500</v>
      </c>
      <c r="J253" s="5">
        <f>([1]Expense!$J$160)-3928.44+4392.57+100.3</f>
        <v>17714.939999999999</v>
      </c>
      <c r="K253" s="5">
        <f>[1]Expense!I160</f>
        <v>23230</v>
      </c>
      <c r="L253" s="5">
        <f>[2]Expense!K143</f>
        <v>27563.41</v>
      </c>
      <c r="M253" s="5">
        <v>39042.76</v>
      </c>
      <c r="N253" s="5">
        <v>18721.240000000002</v>
      </c>
      <c r="O253" s="38">
        <f t="shared" si="28"/>
        <v>0.18381403357727077</v>
      </c>
      <c r="P253" s="18">
        <f t="shared" si="29"/>
        <v>4270</v>
      </c>
    </row>
    <row r="254" spans="1:16" x14ac:dyDescent="0.25">
      <c r="C254" s="1" t="s">
        <v>354</v>
      </c>
      <c r="D254" s="1">
        <v>1</v>
      </c>
      <c r="E254" s="1">
        <v>25000</v>
      </c>
      <c r="F254" s="1">
        <v>25000</v>
      </c>
      <c r="G254" s="19"/>
      <c r="J254" s="5"/>
      <c r="O254" s="38"/>
      <c r="P254" s="18"/>
    </row>
    <row r="255" spans="1:16" x14ac:dyDescent="0.25">
      <c r="C255" s="1" t="s">
        <v>355</v>
      </c>
      <c r="D255" s="1">
        <v>1</v>
      </c>
      <c r="E255" s="1">
        <v>2500</v>
      </c>
      <c r="F255" s="1">
        <v>2500</v>
      </c>
      <c r="G255" s="19"/>
      <c r="J255" s="5"/>
      <c r="O255" s="38"/>
      <c r="P255" s="18"/>
    </row>
    <row r="256" spans="1:16" x14ac:dyDescent="0.25">
      <c r="C256" s="1" t="s">
        <v>356</v>
      </c>
      <c r="G256" s="19"/>
      <c r="J256" s="5"/>
      <c r="O256" s="38"/>
      <c r="P256" s="18"/>
    </row>
    <row r="257" spans="1:16" x14ac:dyDescent="0.25">
      <c r="A257" s="1">
        <v>14194</v>
      </c>
      <c r="B257" s="1">
        <v>54310</v>
      </c>
      <c r="C257" s="1" t="s">
        <v>83</v>
      </c>
      <c r="G257" s="5">
        <v>15000</v>
      </c>
      <c r="H257" s="5">
        <v>15000</v>
      </c>
      <c r="I257" s="5">
        <v>15000</v>
      </c>
      <c r="J257" s="5">
        <f>([1]Expense!$I$160)-7482.8+7109.84+97.99+1380.45</f>
        <v>24335.480000000003</v>
      </c>
      <c r="K257" s="5">
        <v>11820</v>
      </c>
      <c r="L257" s="5">
        <f>[2]Expense!K144</f>
        <v>16421.23</v>
      </c>
      <c r="M257" s="5">
        <v>11036.25</v>
      </c>
      <c r="N257" s="5">
        <v>8782.9</v>
      </c>
      <c r="O257" s="38">
        <f>(G257-K257)/K257</f>
        <v>0.26903553299492383</v>
      </c>
      <c r="P257" s="18">
        <f t="shared" si="29"/>
        <v>3180</v>
      </c>
    </row>
    <row r="258" spans="1:16" x14ac:dyDescent="0.25">
      <c r="A258" s="1">
        <v>14194</v>
      </c>
      <c r="B258" s="1">
        <v>54430</v>
      </c>
      <c r="C258" s="1" t="s">
        <v>226</v>
      </c>
      <c r="G258" s="5">
        <v>2500</v>
      </c>
      <c r="H258" s="5">
        <v>2500</v>
      </c>
      <c r="I258" s="5">
        <v>2500</v>
      </c>
      <c r="J258" s="4">
        <f>2035.84+62+57</f>
        <v>2154.84</v>
      </c>
      <c r="O258" s="38" t="e">
        <f t="shared" si="28"/>
        <v>#DIV/0!</v>
      </c>
      <c r="P258" s="18">
        <f t="shared" si="29"/>
        <v>2500</v>
      </c>
    </row>
    <row r="259" spans="1:16" x14ac:dyDescent="0.25">
      <c r="A259" s="1">
        <v>14194</v>
      </c>
      <c r="B259" s="1">
        <v>54431</v>
      </c>
      <c r="C259" s="1" t="s">
        <v>227</v>
      </c>
      <c r="G259" s="5">
        <v>8500</v>
      </c>
      <c r="H259" s="5">
        <v>8500</v>
      </c>
      <c r="I259" s="5">
        <v>8500</v>
      </c>
      <c r="J259" s="5">
        <f>480+110.66</f>
        <v>590.66</v>
      </c>
      <c r="O259" s="38" t="e">
        <f t="shared" si="28"/>
        <v>#DIV/0!</v>
      </c>
      <c r="P259" s="18">
        <f t="shared" si="29"/>
        <v>8500</v>
      </c>
    </row>
    <row r="260" spans="1:16" x14ac:dyDescent="0.25">
      <c r="C260" s="1" t="s">
        <v>357</v>
      </c>
      <c r="D260" s="1">
        <v>1</v>
      </c>
      <c r="E260" s="1">
        <v>3500</v>
      </c>
      <c r="F260" s="1">
        <v>3500</v>
      </c>
      <c r="G260" s="19"/>
      <c r="J260" s="5"/>
      <c r="O260" s="38"/>
      <c r="P260" s="18"/>
    </row>
    <row r="261" spans="1:16" x14ac:dyDescent="0.25">
      <c r="C261" s="1" t="s">
        <v>358</v>
      </c>
      <c r="D261" s="1">
        <v>1</v>
      </c>
      <c r="E261" s="1">
        <v>5000</v>
      </c>
      <c r="F261" s="1">
        <v>5000</v>
      </c>
      <c r="G261" s="19"/>
      <c r="J261" s="5"/>
      <c r="O261" s="38"/>
      <c r="P261" s="18"/>
    </row>
    <row r="262" spans="1:16" x14ac:dyDescent="0.25">
      <c r="A262" s="1">
        <v>14194</v>
      </c>
      <c r="B262" s="1">
        <v>54490</v>
      </c>
      <c r="C262" s="1" t="s">
        <v>228</v>
      </c>
      <c r="G262" s="5">
        <f>SUM(F263:F269)</f>
        <v>15400</v>
      </c>
      <c r="H262" s="5">
        <f>SUM(F263:F269)</f>
        <v>15400</v>
      </c>
      <c r="I262" s="5">
        <f>14350+1050</f>
        <v>15400</v>
      </c>
      <c r="J262" s="5">
        <f>10150.72+3396.64+7021.92</f>
        <v>20569.28</v>
      </c>
      <c r="O262" s="38" t="e">
        <f t="shared" si="28"/>
        <v>#DIV/0!</v>
      </c>
      <c r="P262" s="18">
        <f t="shared" si="29"/>
        <v>15400</v>
      </c>
    </row>
    <row r="263" spans="1:16" x14ac:dyDescent="0.25">
      <c r="C263" s="1" t="s">
        <v>359</v>
      </c>
      <c r="D263" s="1">
        <v>4</v>
      </c>
      <c r="E263" s="1">
        <v>250</v>
      </c>
      <c r="F263" s="1">
        <v>1000</v>
      </c>
      <c r="G263" s="19"/>
      <c r="J263" s="5"/>
      <c r="O263" s="38"/>
      <c r="P263" s="18"/>
    </row>
    <row r="264" spans="1:16" x14ac:dyDescent="0.25">
      <c r="C264" s="1" t="s">
        <v>360</v>
      </c>
      <c r="D264" s="1">
        <v>1</v>
      </c>
      <c r="E264" s="1">
        <v>500</v>
      </c>
      <c r="F264" s="1">
        <v>500</v>
      </c>
      <c r="G264" s="19"/>
      <c r="J264" s="5"/>
      <c r="O264" s="38"/>
      <c r="P264" s="18"/>
    </row>
    <row r="265" spans="1:16" x14ac:dyDescent="0.25">
      <c r="C265" s="1" t="s">
        <v>361</v>
      </c>
      <c r="D265" s="1">
        <v>1</v>
      </c>
      <c r="E265" s="1">
        <v>7250</v>
      </c>
      <c r="F265" s="1">
        <v>7250</v>
      </c>
      <c r="G265" s="19"/>
      <c r="J265" s="5"/>
      <c r="O265" s="38"/>
      <c r="P265" s="18"/>
    </row>
    <row r="266" spans="1:16" x14ac:dyDescent="0.25">
      <c r="C266" s="1" t="s">
        <v>362</v>
      </c>
      <c r="D266" s="1">
        <v>2</v>
      </c>
      <c r="E266" s="1">
        <v>900</v>
      </c>
      <c r="F266" s="1">
        <v>1800</v>
      </c>
      <c r="G266" s="19"/>
      <c r="K266" s="5">
        <f>[1]Expense!I164</f>
        <v>0</v>
      </c>
      <c r="O266" s="38"/>
      <c r="P266" s="18"/>
    </row>
    <row r="267" spans="1:16" x14ac:dyDescent="0.25">
      <c r="C267" s="1" t="s">
        <v>363</v>
      </c>
      <c r="D267" s="1">
        <v>1</v>
      </c>
      <c r="E267" s="1">
        <v>2000</v>
      </c>
      <c r="F267" s="1">
        <v>2000</v>
      </c>
      <c r="G267" s="19"/>
      <c r="O267" s="38"/>
      <c r="P267" s="18"/>
    </row>
    <row r="268" spans="1:16" x14ac:dyDescent="0.25">
      <c r="C268" s="1" t="s">
        <v>364</v>
      </c>
      <c r="D268" s="1">
        <v>1</v>
      </c>
      <c r="E268" s="1">
        <v>1800</v>
      </c>
      <c r="F268" s="1">
        <v>1800</v>
      </c>
      <c r="G268" s="19"/>
      <c r="O268" s="38"/>
      <c r="P268" s="18"/>
    </row>
    <row r="269" spans="1:16" x14ac:dyDescent="0.25">
      <c r="C269" s="1" t="s">
        <v>365</v>
      </c>
      <c r="D269" s="1">
        <v>1</v>
      </c>
      <c r="E269" s="1">
        <v>1050</v>
      </c>
      <c r="F269" s="1">
        <v>1050</v>
      </c>
      <c r="G269" s="19"/>
      <c r="O269" s="38"/>
      <c r="P269" s="18"/>
    </row>
    <row r="270" spans="1:16" x14ac:dyDescent="0.25">
      <c r="A270" s="1">
        <v>14194</v>
      </c>
      <c r="B270" s="1">
        <v>54500</v>
      </c>
      <c r="C270" s="1" t="s">
        <v>84</v>
      </c>
      <c r="G270" s="5">
        <v>6000</v>
      </c>
      <c r="H270" s="5">
        <v>6000</v>
      </c>
      <c r="I270" s="5">
        <v>6000</v>
      </c>
      <c r="J270" s="5">
        <f>([1]Expense!$J$165)-5035.35</f>
        <v>2593.04</v>
      </c>
      <c r="K270" s="5">
        <f>[1]Expense!I165</f>
        <v>6500</v>
      </c>
      <c r="L270" s="5">
        <f>[2]Expense!K145</f>
        <v>4024.89</v>
      </c>
      <c r="M270" s="5">
        <v>5393.26</v>
      </c>
      <c r="N270" s="5">
        <v>8784.07</v>
      </c>
      <c r="O270" s="38">
        <f t="shared" si="28"/>
        <v>-7.6923076923076927E-2</v>
      </c>
      <c r="P270" s="18">
        <f t="shared" si="29"/>
        <v>-500</v>
      </c>
    </row>
    <row r="271" spans="1:16" x14ac:dyDescent="0.25">
      <c r="C271" s="1" t="s">
        <v>366</v>
      </c>
      <c r="G271" s="19"/>
      <c r="J271" s="5"/>
      <c r="O271" s="38"/>
      <c r="P271" s="18"/>
    </row>
    <row r="272" spans="1:16" x14ac:dyDescent="0.25">
      <c r="C272" s="1" t="s">
        <v>367</v>
      </c>
      <c r="G272" s="19"/>
      <c r="J272" s="5"/>
      <c r="O272" s="38"/>
      <c r="P272" s="18"/>
    </row>
    <row r="273" spans="1:16" x14ac:dyDescent="0.25">
      <c r="A273" s="1">
        <v>14194</v>
      </c>
      <c r="B273" s="1">
        <v>56100</v>
      </c>
      <c r="C273" s="1" t="s">
        <v>71</v>
      </c>
      <c r="G273" s="48"/>
      <c r="H273" s="5">
        <v>15500</v>
      </c>
      <c r="I273" s="5">
        <v>15500</v>
      </c>
      <c r="J273" s="5">
        <f>([1]Expense!N166)+40+59.5</f>
        <v>5709.02</v>
      </c>
      <c r="K273" s="5">
        <f>[1]Expense!I166</f>
        <v>8000</v>
      </c>
      <c r="L273" s="5">
        <f>[2]Expense!K146</f>
        <v>7821.32</v>
      </c>
      <c r="M273" s="5">
        <v>6838.91</v>
      </c>
      <c r="N273" s="5">
        <v>6394.14</v>
      </c>
      <c r="O273" s="38">
        <f t="shared" si="28"/>
        <v>-1</v>
      </c>
      <c r="P273" s="18">
        <f t="shared" si="29"/>
        <v>-8000</v>
      </c>
    </row>
    <row r="274" spans="1:16" hidden="1" x14ac:dyDescent="0.25">
      <c r="C274" s="1" t="s">
        <v>368</v>
      </c>
      <c r="D274" s="1">
        <v>1</v>
      </c>
      <c r="E274" s="1">
        <v>9500</v>
      </c>
      <c r="F274" s="47">
        <v>9500</v>
      </c>
      <c r="G274" s="19"/>
      <c r="J274" s="5">
        <f>[1]Expense!N167</f>
        <v>0</v>
      </c>
      <c r="O274" s="38" t="e">
        <f t="shared" si="28"/>
        <v>#DIV/0!</v>
      </c>
      <c r="P274" s="18">
        <f t="shared" si="29"/>
        <v>0</v>
      </c>
    </row>
    <row r="275" spans="1:16" hidden="1" x14ac:dyDescent="0.25">
      <c r="C275" s="1" t="s">
        <v>369</v>
      </c>
      <c r="D275" s="1">
        <v>1</v>
      </c>
      <c r="E275" s="1">
        <v>6000</v>
      </c>
      <c r="F275" s="47">
        <v>6000</v>
      </c>
      <c r="G275" s="19"/>
      <c r="J275" s="5"/>
      <c r="O275" s="38" t="e">
        <f t="shared" si="28"/>
        <v>#DIV/0!</v>
      </c>
      <c r="P275" s="18">
        <f t="shared" si="29"/>
        <v>0</v>
      </c>
    </row>
    <row r="276" spans="1:16" x14ac:dyDescent="0.25">
      <c r="A276" s="1">
        <v>14194</v>
      </c>
      <c r="B276" s="1">
        <v>56110</v>
      </c>
      <c r="C276" s="1" t="s">
        <v>85</v>
      </c>
      <c r="G276" s="19"/>
      <c r="J276" s="5"/>
      <c r="K276" s="5">
        <v>150</v>
      </c>
      <c r="L276" s="5">
        <f>[2]Expense!K147</f>
        <v>0</v>
      </c>
      <c r="M276" s="5">
        <v>0</v>
      </c>
      <c r="N276" s="5">
        <v>0</v>
      </c>
      <c r="O276" s="38">
        <f t="shared" si="28"/>
        <v>-1</v>
      </c>
      <c r="P276" s="18">
        <f t="shared" si="29"/>
        <v>-150</v>
      </c>
    </row>
    <row r="277" spans="1:16" x14ac:dyDescent="0.25">
      <c r="A277" s="1">
        <v>14194</v>
      </c>
      <c r="B277" s="1">
        <v>56115</v>
      </c>
      <c r="C277" s="1" t="s">
        <v>86</v>
      </c>
      <c r="G277" s="5">
        <v>750</v>
      </c>
      <c r="H277" s="5">
        <v>750</v>
      </c>
      <c r="I277" s="5">
        <v>750</v>
      </c>
      <c r="J277" s="5">
        <f>[1]Expense!N168</f>
        <v>589</v>
      </c>
      <c r="K277" s="5">
        <f>[1]Expense!I168</f>
        <v>250</v>
      </c>
      <c r="L277" s="5">
        <f>[2]Expense!K148</f>
        <v>54.38</v>
      </c>
      <c r="M277" s="5">
        <v>0</v>
      </c>
      <c r="N277" s="5">
        <v>0</v>
      </c>
      <c r="O277" s="38">
        <f t="shared" si="28"/>
        <v>2</v>
      </c>
      <c r="P277" s="18">
        <f t="shared" si="29"/>
        <v>500</v>
      </c>
    </row>
    <row r="278" spans="1:16" x14ac:dyDescent="0.25">
      <c r="C278" s="1" t="s">
        <v>370</v>
      </c>
      <c r="G278" s="19"/>
      <c r="J278" s="5"/>
      <c r="O278" s="38"/>
      <c r="P278" s="18"/>
    </row>
    <row r="279" spans="1:16" x14ac:dyDescent="0.25">
      <c r="A279" s="1">
        <v>14194</v>
      </c>
      <c r="B279" s="1">
        <v>56130</v>
      </c>
      <c r="C279" s="1" t="s">
        <v>11</v>
      </c>
      <c r="G279" s="50">
        <v>200</v>
      </c>
      <c r="H279" s="5">
        <v>500</v>
      </c>
      <c r="I279" s="5">
        <v>500</v>
      </c>
      <c r="J279" s="5">
        <f>[1]Expense!$J$169</f>
        <v>147.84</v>
      </c>
      <c r="K279" s="5">
        <f>[1]Expense!I169</f>
        <v>200</v>
      </c>
      <c r="M279" s="5">
        <v>127.12</v>
      </c>
      <c r="N279" s="5">
        <v>137.61000000000001</v>
      </c>
      <c r="O279" s="38">
        <f>(G279-K279)/K279</f>
        <v>0</v>
      </c>
      <c r="P279" s="18">
        <f t="shared" si="29"/>
        <v>0</v>
      </c>
    </row>
    <row r="280" spans="1:16" x14ac:dyDescent="0.25">
      <c r="A280" s="1">
        <v>14194</v>
      </c>
      <c r="B280" s="1">
        <v>56350</v>
      </c>
      <c r="C280" s="1" t="s">
        <v>113</v>
      </c>
      <c r="G280" s="5">
        <v>4500</v>
      </c>
      <c r="H280" s="5">
        <v>4500</v>
      </c>
      <c r="I280" s="5">
        <v>4500</v>
      </c>
      <c r="J280" s="5">
        <f>[1]Expense!N170+300.68+103.2+2365.15</f>
        <v>2915.09</v>
      </c>
      <c r="O280" s="38" t="e">
        <f t="shared" si="28"/>
        <v>#DIV/0!</v>
      </c>
      <c r="P280" s="18">
        <f t="shared" si="29"/>
        <v>4500</v>
      </c>
    </row>
    <row r="281" spans="1:16" x14ac:dyDescent="0.25">
      <c r="C281" s="1" t="s">
        <v>371</v>
      </c>
      <c r="D281" s="1">
        <v>1</v>
      </c>
      <c r="E281" s="1">
        <v>2000</v>
      </c>
      <c r="F281" s="1">
        <v>2000</v>
      </c>
      <c r="G281" s="19"/>
      <c r="J281" s="5"/>
      <c r="O281" s="38"/>
      <c r="P281" s="18"/>
    </row>
    <row r="282" spans="1:16" x14ac:dyDescent="0.25">
      <c r="C282" s="1" t="s">
        <v>372</v>
      </c>
      <c r="D282" s="1">
        <v>1</v>
      </c>
      <c r="E282" s="1">
        <v>2500</v>
      </c>
      <c r="F282" s="1">
        <v>2500</v>
      </c>
      <c r="G282" s="19"/>
      <c r="K282" s="5">
        <f>[1]Expense!I170</f>
        <v>0</v>
      </c>
      <c r="O282" s="38"/>
      <c r="P282" s="18"/>
    </row>
    <row r="283" spans="1:16" x14ac:dyDescent="0.25">
      <c r="A283" s="1">
        <v>14194</v>
      </c>
      <c r="B283" s="1">
        <v>56600</v>
      </c>
      <c r="C283" s="1" t="s">
        <v>87</v>
      </c>
      <c r="G283" s="50">
        <v>3000</v>
      </c>
      <c r="H283" s="5">
        <v>6000</v>
      </c>
      <c r="I283" s="5">
        <v>6000</v>
      </c>
      <c r="J283" s="5">
        <f>[1]Expense!N171+375.71</f>
        <v>2861.56</v>
      </c>
      <c r="K283" s="5">
        <f>[1]Expense!I171</f>
        <v>3000</v>
      </c>
      <c r="L283" s="5">
        <f>[2]Expense!K149</f>
        <v>3183.61</v>
      </c>
      <c r="M283" s="5">
        <v>2600.6</v>
      </c>
      <c r="N283" s="5">
        <v>2997.07</v>
      </c>
      <c r="O283" s="38">
        <f t="shared" si="28"/>
        <v>0</v>
      </c>
      <c r="P283" s="18">
        <f t="shared" si="29"/>
        <v>0</v>
      </c>
    </row>
    <row r="284" spans="1:16" x14ac:dyDescent="0.25">
      <c r="C284" s="1" t="s">
        <v>373</v>
      </c>
      <c r="G284" s="19"/>
      <c r="O284" s="38"/>
      <c r="P284" s="18"/>
    </row>
    <row r="285" spans="1:16" x14ac:dyDescent="0.25">
      <c r="A285" s="1">
        <v>14194</v>
      </c>
      <c r="B285" s="1">
        <v>56680</v>
      </c>
      <c r="C285" s="1" t="s">
        <v>43</v>
      </c>
      <c r="G285" s="19">
        <f>SUM(F286:F288)</f>
        <v>10100</v>
      </c>
      <c r="H285" s="19">
        <f>SUM(F286:F288)</f>
        <v>10100</v>
      </c>
      <c r="I285" s="5">
        <f>SUM(F286:F289)</f>
        <v>18400</v>
      </c>
      <c r="J285" s="5">
        <f>[1]Expense!$J$172+813.74</f>
        <v>3485.92</v>
      </c>
      <c r="L285" s="5">
        <f>[2]Expense!K150</f>
        <v>2229.83</v>
      </c>
      <c r="M285" s="5">
        <v>5700</v>
      </c>
      <c r="N285" s="5">
        <v>0</v>
      </c>
      <c r="O285" s="38" t="e">
        <f t="shared" si="28"/>
        <v>#DIV/0!</v>
      </c>
      <c r="P285" s="18">
        <f t="shared" si="29"/>
        <v>10100</v>
      </c>
    </row>
    <row r="286" spans="1:16" x14ac:dyDescent="0.25">
      <c r="C286" s="1" t="s">
        <v>374</v>
      </c>
      <c r="D286" s="1">
        <v>2</v>
      </c>
      <c r="E286" s="1">
        <v>750</v>
      </c>
      <c r="F286" s="1">
        <v>1500</v>
      </c>
      <c r="H286" s="1"/>
      <c r="J286" s="5"/>
      <c r="O286" s="38"/>
      <c r="P286" s="18"/>
    </row>
    <row r="287" spans="1:16" x14ac:dyDescent="0.25">
      <c r="C287" s="1" t="s">
        <v>375</v>
      </c>
      <c r="D287" s="1">
        <v>1</v>
      </c>
      <c r="E287" s="1">
        <v>5600</v>
      </c>
      <c r="F287" s="1">
        <v>5600</v>
      </c>
      <c r="H287" s="1"/>
      <c r="J287" s="5"/>
      <c r="O287" s="38"/>
      <c r="P287" s="18"/>
    </row>
    <row r="288" spans="1:16" x14ac:dyDescent="0.25">
      <c r="C288" s="1" t="s">
        <v>376</v>
      </c>
      <c r="D288" s="1">
        <v>1</v>
      </c>
      <c r="E288" s="1">
        <v>3000</v>
      </c>
      <c r="F288" s="1">
        <v>3000</v>
      </c>
      <c r="G288" s="19"/>
      <c r="J288" s="5"/>
      <c r="O288" s="38"/>
      <c r="P288" s="18"/>
    </row>
    <row r="289" spans="1:16" x14ac:dyDescent="0.25">
      <c r="C289" s="1" t="s">
        <v>377</v>
      </c>
      <c r="D289" s="1">
        <v>25</v>
      </c>
      <c r="E289" s="1">
        <v>332</v>
      </c>
      <c r="F289" s="1">
        <f>D289*E289</f>
        <v>8300</v>
      </c>
      <c r="G289" s="19"/>
      <c r="H289" s="19">
        <v>0</v>
      </c>
      <c r="J289" s="5"/>
      <c r="K289" s="5">
        <f>[1]Expense!I172</f>
        <v>0</v>
      </c>
      <c r="O289" s="38"/>
      <c r="P289" s="18"/>
    </row>
    <row r="290" spans="1:16" x14ac:dyDescent="0.25">
      <c r="A290" s="1">
        <v>14194</v>
      </c>
      <c r="B290" s="1">
        <v>57200</v>
      </c>
      <c r="C290" s="1" t="s">
        <v>88</v>
      </c>
      <c r="G290" s="19">
        <f>F291+F296+F298</f>
        <v>44000</v>
      </c>
      <c r="H290" s="19">
        <f>F291+F296+F298</f>
        <v>44000</v>
      </c>
      <c r="I290" s="5">
        <v>88500</v>
      </c>
      <c r="J290" s="5">
        <v>28000</v>
      </c>
      <c r="K290" s="5">
        <v>44422</v>
      </c>
      <c r="L290" s="5">
        <f>[2]Expense!K151</f>
        <v>22164</v>
      </c>
      <c r="M290" s="5">
        <v>48345.98</v>
      </c>
      <c r="N290" s="5">
        <v>91386.13</v>
      </c>
      <c r="O290" s="38">
        <f>(G290-K290)/K290</f>
        <v>-9.4997973976858312E-3</v>
      </c>
      <c r="P290" s="18">
        <f t="shared" ref="P290:P313" si="30">G290-K290</f>
        <v>-422</v>
      </c>
    </row>
    <row r="291" spans="1:16" x14ac:dyDescent="0.25">
      <c r="C291" s="1" t="s">
        <v>387</v>
      </c>
      <c r="D291" s="1">
        <v>1</v>
      </c>
      <c r="E291" s="1">
        <v>15000</v>
      </c>
      <c r="F291" s="1">
        <v>15000</v>
      </c>
      <c r="G291" s="19"/>
      <c r="J291" s="5"/>
      <c r="O291" s="38"/>
      <c r="P291" s="18"/>
    </row>
    <row r="292" spans="1:16" x14ac:dyDescent="0.25">
      <c r="C292" s="1" t="s">
        <v>388</v>
      </c>
      <c r="G292" s="19"/>
      <c r="J292" s="5"/>
      <c r="O292" s="38"/>
      <c r="P292" s="18"/>
    </row>
    <row r="293" spans="1:16" x14ac:dyDescent="0.25">
      <c r="C293" s="1" t="s">
        <v>389</v>
      </c>
      <c r="G293" s="19"/>
      <c r="J293" s="5"/>
      <c r="O293" s="38"/>
      <c r="P293" s="18"/>
    </row>
    <row r="294" spans="1:16" hidden="1" x14ac:dyDescent="0.25">
      <c r="C294" s="1" t="s">
        <v>378</v>
      </c>
      <c r="D294" s="1">
        <v>1</v>
      </c>
      <c r="E294" s="1">
        <v>5000</v>
      </c>
      <c r="F294" s="1">
        <v>5000</v>
      </c>
      <c r="G294" s="19"/>
      <c r="J294" s="5"/>
      <c r="O294" s="38"/>
      <c r="P294" s="18"/>
    </row>
    <row r="295" spans="1:16" hidden="1" x14ac:dyDescent="0.25">
      <c r="C295" s="1" t="s">
        <v>379</v>
      </c>
      <c r="D295" s="1">
        <v>1</v>
      </c>
      <c r="E295" s="1">
        <v>12000</v>
      </c>
      <c r="F295" s="1">
        <v>12000</v>
      </c>
      <c r="G295" s="19"/>
      <c r="J295" s="5"/>
      <c r="O295" s="38"/>
      <c r="P295" s="18"/>
    </row>
    <row r="296" spans="1:16" x14ac:dyDescent="0.25">
      <c r="C296" s="1" t="s">
        <v>380</v>
      </c>
      <c r="D296" s="1">
        <v>1</v>
      </c>
      <c r="E296" s="1">
        <v>20000</v>
      </c>
      <c r="F296" s="1">
        <v>20000</v>
      </c>
      <c r="G296" s="19"/>
      <c r="J296" s="5"/>
      <c r="O296" s="38"/>
      <c r="P296" s="18"/>
    </row>
    <row r="297" spans="1:16" x14ac:dyDescent="0.25">
      <c r="C297" s="1" t="s">
        <v>381</v>
      </c>
      <c r="G297" s="19"/>
      <c r="J297" s="5"/>
      <c r="O297" s="38"/>
      <c r="P297" s="18"/>
    </row>
    <row r="298" spans="1:16" x14ac:dyDescent="0.25">
      <c r="C298" s="1" t="s">
        <v>382</v>
      </c>
      <c r="D298" s="1">
        <v>0.5</v>
      </c>
      <c r="E298" s="1">
        <v>18000</v>
      </c>
      <c r="F298" s="1">
        <v>9000</v>
      </c>
      <c r="G298" s="19"/>
      <c r="J298" s="5"/>
      <c r="O298" s="38"/>
      <c r="P298" s="18"/>
    </row>
    <row r="299" spans="1:16" x14ac:dyDescent="0.25">
      <c r="C299" s="1" t="s">
        <v>383</v>
      </c>
      <c r="G299" s="19"/>
      <c r="J299" s="5"/>
      <c r="O299" s="38"/>
      <c r="P299" s="18"/>
    </row>
    <row r="300" spans="1:16" x14ac:dyDescent="0.25">
      <c r="C300" s="1" t="s">
        <v>693</v>
      </c>
      <c r="G300" s="19"/>
      <c r="J300" s="5"/>
      <c r="O300" s="38"/>
      <c r="P300" s="18"/>
    </row>
    <row r="301" spans="1:16" hidden="1" x14ac:dyDescent="0.25">
      <c r="C301" s="1" t="s">
        <v>384</v>
      </c>
      <c r="D301" s="1">
        <v>1</v>
      </c>
      <c r="E301" s="1">
        <v>2500</v>
      </c>
      <c r="F301" s="1">
        <v>2500</v>
      </c>
      <c r="G301" s="19">
        <v>0</v>
      </c>
      <c r="H301" s="19">
        <v>0</v>
      </c>
      <c r="J301" s="5"/>
      <c r="O301" s="38" t="e">
        <f t="shared" ref="O290:O313" si="31">(G301-K301)/K301</f>
        <v>#DIV/0!</v>
      </c>
      <c r="P301" s="18">
        <f t="shared" si="30"/>
        <v>0</v>
      </c>
    </row>
    <row r="302" spans="1:16" hidden="1" x14ac:dyDescent="0.25">
      <c r="C302" s="1" t="s">
        <v>385</v>
      </c>
      <c r="D302" s="1">
        <v>1</v>
      </c>
      <c r="E302" s="1">
        <v>25000</v>
      </c>
      <c r="F302" s="1">
        <v>25000</v>
      </c>
      <c r="G302" s="19">
        <v>0</v>
      </c>
      <c r="H302" s="19">
        <v>0</v>
      </c>
      <c r="J302" s="5"/>
      <c r="O302" s="38" t="e">
        <f t="shared" si="31"/>
        <v>#DIV/0!</v>
      </c>
      <c r="P302" s="18">
        <f t="shared" si="30"/>
        <v>0</v>
      </c>
    </row>
    <row r="303" spans="1:16" hidden="1" x14ac:dyDescent="0.25">
      <c r="C303" s="1" t="s">
        <v>386</v>
      </c>
      <c r="G303" s="19"/>
      <c r="J303" s="5"/>
      <c r="O303" s="38" t="e">
        <f t="shared" si="31"/>
        <v>#DIV/0!</v>
      </c>
      <c r="P303" s="18">
        <f t="shared" si="30"/>
        <v>0</v>
      </c>
    </row>
    <row r="304" spans="1:16" hidden="1" x14ac:dyDescent="0.25">
      <c r="C304" s="1" t="s">
        <v>716</v>
      </c>
      <c r="G304" s="19"/>
      <c r="J304" s="5"/>
      <c r="O304" s="38" t="e">
        <f t="shared" si="31"/>
        <v>#DIV/0!</v>
      </c>
      <c r="P304" s="18">
        <f t="shared" si="30"/>
        <v>0</v>
      </c>
    </row>
    <row r="305" spans="1:16" x14ac:dyDescent="0.25">
      <c r="A305" s="1">
        <v>14194</v>
      </c>
      <c r="B305" s="1">
        <v>57300</v>
      </c>
      <c r="C305" s="1" t="s">
        <v>89</v>
      </c>
      <c r="G305" s="5">
        <f>SUM(F306:F311)</f>
        <v>33100</v>
      </c>
      <c r="H305" s="5">
        <f>SUM(F306:F311)</f>
        <v>33100</v>
      </c>
      <c r="I305" s="5">
        <f>91000-55000</f>
        <v>36000</v>
      </c>
      <c r="J305" s="5">
        <v>13410</v>
      </c>
      <c r="K305" s="5">
        <v>11575</v>
      </c>
      <c r="L305" s="5">
        <f>[2]Expense!K152</f>
        <v>500</v>
      </c>
      <c r="M305" s="5">
        <v>11168</v>
      </c>
      <c r="N305" s="5">
        <v>0</v>
      </c>
      <c r="O305" s="38">
        <f t="shared" si="31"/>
        <v>1.8596112311015118</v>
      </c>
      <c r="P305" s="18">
        <f t="shared" si="30"/>
        <v>21525</v>
      </c>
    </row>
    <row r="306" spans="1:16" x14ac:dyDescent="0.25">
      <c r="C306" s="1" t="s">
        <v>390</v>
      </c>
      <c r="D306" s="1">
        <v>2</v>
      </c>
      <c r="E306" s="1">
        <v>2800</v>
      </c>
      <c r="F306" s="1">
        <f>D306*E306</f>
        <v>5600</v>
      </c>
      <c r="G306" s="19"/>
      <c r="J306" s="5"/>
      <c r="O306" s="38"/>
      <c r="P306" s="18"/>
    </row>
    <row r="307" spans="1:16" x14ac:dyDescent="0.25">
      <c r="C307" s="1" t="s">
        <v>391</v>
      </c>
      <c r="G307" s="19"/>
      <c r="J307" s="5"/>
      <c r="O307" s="38"/>
      <c r="P307" s="18"/>
    </row>
    <row r="308" spans="1:16" x14ac:dyDescent="0.25">
      <c r="C308" s="1" t="s">
        <v>392</v>
      </c>
      <c r="G308" s="19"/>
      <c r="J308" s="5"/>
      <c r="O308" s="38"/>
      <c r="P308" s="18"/>
    </row>
    <row r="309" spans="1:16" x14ac:dyDescent="0.25">
      <c r="C309" s="1" t="s">
        <v>393</v>
      </c>
      <c r="D309" s="1">
        <v>1</v>
      </c>
      <c r="E309" s="1">
        <v>2500</v>
      </c>
      <c r="F309" s="1">
        <v>2500</v>
      </c>
      <c r="G309" s="19"/>
      <c r="J309" s="5"/>
      <c r="O309" s="38"/>
      <c r="P309" s="18"/>
    </row>
    <row r="310" spans="1:16" x14ac:dyDescent="0.25">
      <c r="C310" s="1" t="s">
        <v>394</v>
      </c>
      <c r="G310" s="19"/>
      <c r="J310" s="5"/>
      <c r="O310" s="38"/>
      <c r="P310" s="18"/>
    </row>
    <row r="311" spans="1:16" x14ac:dyDescent="0.25">
      <c r="C311" s="1" t="s">
        <v>395</v>
      </c>
      <c r="D311" s="1">
        <v>1</v>
      </c>
      <c r="E311" s="1">
        <v>25000</v>
      </c>
      <c r="F311" s="1">
        <v>25000</v>
      </c>
      <c r="G311" s="19"/>
      <c r="J311" s="5"/>
      <c r="O311" s="38"/>
      <c r="P311" s="18"/>
    </row>
    <row r="312" spans="1:16" x14ac:dyDescent="0.25">
      <c r="C312" s="1" t="s">
        <v>396</v>
      </c>
      <c r="G312" s="19"/>
      <c r="O312" s="38"/>
      <c r="P312" s="18"/>
    </row>
    <row r="313" spans="1:16" s="8" customFormat="1" x14ac:dyDescent="0.25">
      <c r="A313" s="8" t="s">
        <v>12</v>
      </c>
      <c r="B313" s="8" t="s">
        <v>90</v>
      </c>
      <c r="G313" s="9">
        <f>SUM(G221:G312)</f>
        <v>985313</v>
      </c>
      <c r="H313" s="9">
        <f>SUM(H221:H312)</f>
        <v>1038945</v>
      </c>
      <c r="I313" s="9">
        <f t="shared" ref="I313" si="32">SUM(I221:I312)</f>
        <v>1094645</v>
      </c>
      <c r="J313" s="9">
        <f>[1]Expense!$J$175</f>
        <v>850890.78000000014</v>
      </c>
      <c r="K313" s="9">
        <f>SUM(K221:K312)</f>
        <v>920522.3</v>
      </c>
      <c r="L313" s="9">
        <f t="shared" ref="L313:N313" si="33">SUM(L221:L305)</f>
        <v>669935.5</v>
      </c>
      <c r="M313" s="9">
        <f t="shared" si="33"/>
        <v>747377.49</v>
      </c>
      <c r="N313" s="9">
        <f t="shared" si="33"/>
        <v>721433.95</v>
      </c>
      <c r="O313" s="39">
        <f t="shared" si="31"/>
        <v>7.038471528609351E-2</v>
      </c>
      <c r="P313" s="40">
        <f t="shared" si="30"/>
        <v>64790.699999999953</v>
      </c>
    </row>
    <row r="314" spans="1:16" x14ac:dyDescent="0.25">
      <c r="G314" s="19"/>
      <c r="J314" s="9"/>
      <c r="K314" s="9"/>
      <c r="O314" s="38"/>
      <c r="P314" s="18"/>
    </row>
    <row r="315" spans="1:16" x14ac:dyDescent="0.25">
      <c r="A315" s="1">
        <v>14198</v>
      </c>
      <c r="B315" s="1" t="s">
        <v>91</v>
      </c>
      <c r="G315" s="19"/>
      <c r="O315" s="38"/>
      <c r="P315" s="18"/>
    </row>
    <row r="316" spans="1:16" ht="16.149999999999999" customHeight="1" x14ac:dyDescent="0.25">
      <c r="A316" s="1">
        <v>14198</v>
      </c>
      <c r="B316" s="1">
        <v>59900</v>
      </c>
      <c r="C316" s="1" t="s">
        <v>92</v>
      </c>
      <c r="G316" s="65">
        <v>200000</v>
      </c>
      <c r="H316" s="19">
        <v>450000</v>
      </c>
      <c r="I316" s="5">
        <v>450000</v>
      </c>
      <c r="J316" s="5">
        <v>30000</v>
      </c>
      <c r="K316" s="5">
        <v>103602</v>
      </c>
      <c r="L316" s="5">
        <f>[2]Expense!$K$154</f>
        <v>0</v>
      </c>
      <c r="M316" s="5">
        <v>0</v>
      </c>
      <c r="N316" s="5">
        <v>0</v>
      </c>
      <c r="O316" s="38">
        <f>(G316-K316)/K316</f>
        <v>0.93046466284434659</v>
      </c>
      <c r="P316" s="18">
        <f>G316-K316</f>
        <v>96398</v>
      </c>
    </row>
    <row r="317" spans="1:16" s="8" customFormat="1" x14ac:dyDescent="0.25">
      <c r="A317" s="8" t="s">
        <v>12</v>
      </c>
      <c r="B317" s="8" t="s">
        <v>93</v>
      </c>
      <c r="G317" s="21">
        <f t="shared" ref="G317" si="34">SUM(G316)</f>
        <v>200000</v>
      </c>
      <c r="H317" s="21">
        <f t="shared" ref="H317:N317" si="35">SUM(H316)</f>
        <v>450000</v>
      </c>
      <c r="I317" s="9">
        <f t="shared" si="35"/>
        <v>450000</v>
      </c>
      <c r="J317" s="9">
        <f t="shared" si="35"/>
        <v>30000</v>
      </c>
      <c r="K317" s="9">
        <f t="shared" si="35"/>
        <v>103602</v>
      </c>
      <c r="L317" s="9">
        <f t="shared" si="35"/>
        <v>0</v>
      </c>
      <c r="M317" s="9">
        <f t="shared" si="35"/>
        <v>0</v>
      </c>
      <c r="N317" s="9">
        <f t="shared" si="35"/>
        <v>0</v>
      </c>
      <c r="O317" s="39">
        <f>(H317-K317)/K317</f>
        <v>3.3435454913997797</v>
      </c>
      <c r="P317" s="40">
        <f>H317-K317</f>
        <v>346398</v>
      </c>
    </row>
    <row r="318" spans="1:16" x14ac:dyDescent="0.25">
      <c r="G318" s="19"/>
      <c r="J318" s="8"/>
      <c r="L318" s="9"/>
      <c r="O318" s="38"/>
      <c r="P318" s="18"/>
    </row>
    <row r="319" spans="1:16" s="8" customFormat="1" x14ac:dyDescent="0.25">
      <c r="A319" s="8">
        <v>14211</v>
      </c>
      <c r="B319" s="8" t="s">
        <v>94</v>
      </c>
      <c r="G319" s="9"/>
      <c r="H319" s="9"/>
      <c r="I319" s="9"/>
      <c r="J319" s="1"/>
      <c r="K319" s="5"/>
      <c r="L319" s="5"/>
      <c r="M319" s="9"/>
      <c r="N319" s="9"/>
      <c r="O319" s="38"/>
      <c r="P319" s="18"/>
    </row>
    <row r="320" spans="1:16" x14ac:dyDescent="0.25">
      <c r="A320" s="1">
        <v>14211</v>
      </c>
      <c r="B320" s="1">
        <v>51120</v>
      </c>
      <c r="C320" s="1" t="s">
        <v>95</v>
      </c>
      <c r="G320" s="5">
        <v>685000</v>
      </c>
      <c r="H320" s="5">
        <v>685000</v>
      </c>
      <c r="I320" s="5">
        <v>685000</v>
      </c>
      <c r="J320" s="5">
        <f>[1]Expense!N182</f>
        <v>660728.37</v>
      </c>
      <c r="K320" s="5">
        <f>[1]Expense!I182</f>
        <v>742270</v>
      </c>
      <c r="L320" s="5">
        <f>[2]Expense!K160</f>
        <v>597920.17000000004</v>
      </c>
      <c r="M320" s="5">
        <v>601624.86</v>
      </c>
      <c r="N320" s="5">
        <v>632272.78</v>
      </c>
      <c r="O320" s="38">
        <f t="shared" ref="O320:O338" si="36">(G320-K320)/K320</f>
        <v>-7.7155213062632191E-2</v>
      </c>
      <c r="P320" s="18">
        <f t="shared" ref="P320:P338" si="37">G320-K320</f>
        <v>-57270</v>
      </c>
    </row>
    <row r="321" spans="1:16" x14ac:dyDescent="0.25">
      <c r="A321" s="1">
        <v>14211</v>
      </c>
      <c r="B321" s="1">
        <v>51122</v>
      </c>
      <c r="C321" s="1" t="s">
        <v>96</v>
      </c>
      <c r="G321" s="5">
        <v>464000</v>
      </c>
      <c r="H321" s="5">
        <v>464000</v>
      </c>
      <c r="I321" s="5">
        <v>464000</v>
      </c>
      <c r="J321" s="5">
        <f>[1]Expense!N183</f>
        <v>398198.45</v>
      </c>
      <c r="K321" s="5">
        <f>[1]Expense!I183</f>
        <v>506800</v>
      </c>
      <c r="L321" s="5">
        <f>[2]Expense!K161</f>
        <v>344321.6</v>
      </c>
      <c r="M321" s="5">
        <v>355458.35</v>
      </c>
      <c r="N321" s="5">
        <v>334853.03999999998</v>
      </c>
      <c r="O321" s="38">
        <f t="shared" si="36"/>
        <v>-8.4451460142067877E-2</v>
      </c>
      <c r="P321" s="18">
        <f t="shared" si="37"/>
        <v>-42800</v>
      </c>
    </row>
    <row r="322" spans="1:16" x14ac:dyDescent="0.25">
      <c r="A322" s="1">
        <v>14211</v>
      </c>
      <c r="B322" s="1">
        <v>51220</v>
      </c>
      <c r="C322" s="1" t="s">
        <v>97</v>
      </c>
      <c r="G322" s="5">
        <v>89000</v>
      </c>
      <c r="H322" s="5">
        <v>89000</v>
      </c>
      <c r="I322" s="5">
        <v>89000</v>
      </c>
      <c r="J322" s="5">
        <f>[1]Expense!N184</f>
        <v>46929.82</v>
      </c>
      <c r="K322" s="5">
        <f>[1]Expense!I184</f>
        <v>90600</v>
      </c>
      <c r="L322" s="5">
        <f>[2]Expense!K162</f>
        <v>63618.81</v>
      </c>
      <c r="M322" s="5">
        <v>52110.63</v>
      </c>
      <c r="N322" s="5">
        <v>67968.740000000005</v>
      </c>
      <c r="O322" s="38">
        <f t="shared" si="36"/>
        <v>-1.7660044150110375E-2</v>
      </c>
      <c r="P322" s="18">
        <f t="shared" si="37"/>
        <v>-1600</v>
      </c>
    </row>
    <row r="323" spans="1:16" x14ac:dyDescent="0.25">
      <c r="A323" s="1">
        <v>14211</v>
      </c>
      <c r="B323" s="1">
        <v>51222</v>
      </c>
      <c r="C323" s="1" t="s">
        <v>98</v>
      </c>
      <c r="G323" s="5">
        <v>10000</v>
      </c>
      <c r="H323" s="5">
        <v>10000</v>
      </c>
      <c r="I323" s="5">
        <v>10000</v>
      </c>
      <c r="J323" s="5">
        <f>[1]Expense!N185</f>
        <v>6302.8</v>
      </c>
      <c r="K323" s="5">
        <f>[1]Expense!I185</f>
        <v>16000</v>
      </c>
      <c r="L323" s="5">
        <f>[2]Expense!K163</f>
        <v>13960.96</v>
      </c>
      <c r="M323" s="5">
        <v>9935.2000000000007</v>
      </c>
      <c r="N323" s="5">
        <v>19763.009999999998</v>
      </c>
      <c r="O323" s="38">
        <f t="shared" si="36"/>
        <v>-0.375</v>
      </c>
      <c r="P323" s="18">
        <f t="shared" si="37"/>
        <v>-6000</v>
      </c>
    </row>
    <row r="324" spans="1:16" x14ac:dyDescent="0.25">
      <c r="A324" s="1">
        <v>14211</v>
      </c>
      <c r="B324" s="1">
        <v>51224</v>
      </c>
      <c r="C324" s="1" t="s">
        <v>99</v>
      </c>
      <c r="G324" s="5">
        <v>444860</v>
      </c>
      <c r="H324" s="5">
        <v>444860</v>
      </c>
      <c r="I324" s="5">
        <v>444860</v>
      </c>
      <c r="J324" s="5">
        <f>[1]Expense!N186</f>
        <v>383362.78</v>
      </c>
      <c r="K324" s="5">
        <f>[1]Expense!I186</f>
        <v>361930</v>
      </c>
      <c r="L324" s="5">
        <f>[2]Expense!K164</f>
        <v>269324.42</v>
      </c>
      <c r="M324" s="5">
        <v>196585.91</v>
      </c>
      <c r="N324" s="5">
        <v>180813.9</v>
      </c>
      <c r="O324" s="38">
        <f>(G324-K324)/K324</f>
        <v>0.22913270521924128</v>
      </c>
      <c r="P324" s="18">
        <f t="shared" si="37"/>
        <v>82930</v>
      </c>
    </row>
    <row r="325" spans="1:16" x14ac:dyDescent="0.25">
      <c r="A325" s="1">
        <v>14211</v>
      </c>
      <c r="B325" s="1">
        <v>51300</v>
      </c>
      <c r="C325" s="1" t="s">
        <v>17</v>
      </c>
      <c r="G325" s="5">
        <v>81735</v>
      </c>
      <c r="H325" s="5">
        <v>81735</v>
      </c>
      <c r="I325" s="5">
        <v>81735</v>
      </c>
      <c r="J325" s="5">
        <f>[1]Expense!N187</f>
        <v>81735</v>
      </c>
      <c r="K325" s="5">
        <f>[1]Expense!I187</f>
        <v>81735</v>
      </c>
      <c r="L325" s="5">
        <f>[2]Expense!K165</f>
        <v>74304</v>
      </c>
      <c r="M325" s="5">
        <v>74304</v>
      </c>
      <c r="N325" s="5">
        <v>74304</v>
      </c>
      <c r="O325" s="38">
        <f t="shared" si="36"/>
        <v>0</v>
      </c>
      <c r="P325" s="18">
        <f t="shared" si="37"/>
        <v>0</v>
      </c>
    </row>
    <row r="326" spans="1:16" x14ac:dyDescent="0.25">
      <c r="A326" s="1">
        <v>14211</v>
      </c>
      <c r="B326" s="1">
        <v>51405</v>
      </c>
      <c r="C326" s="1" t="s">
        <v>100</v>
      </c>
      <c r="G326" s="5">
        <v>47500</v>
      </c>
      <c r="H326" s="5">
        <v>47500</v>
      </c>
      <c r="I326" s="5">
        <v>47500</v>
      </c>
      <c r="J326" s="5">
        <f>[1]Expense!N188</f>
        <v>47354</v>
      </c>
      <c r="K326" s="5">
        <f>[1]Expense!I188</f>
        <v>47500</v>
      </c>
      <c r="L326" s="5">
        <f>[2]Expense!K166</f>
        <v>35400</v>
      </c>
      <c r="M326" s="5">
        <v>48151.98</v>
      </c>
      <c r="N326" s="5">
        <v>10276</v>
      </c>
      <c r="O326" s="38">
        <f t="shared" si="36"/>
        <v>0</v>
      </c>
      <c r="P326" s="18">
        <f t="shared" si="37"/>
        <v>0</v>
      </c>
    </row>
    <row r="327" spans="1:16" x14ac:dyDescent="0.25">
      <c r="A327" s="1">
        <v>14211</v>
      </c>
      <c r="B327" s="1">
        <v>51420</v>
      </c>
      <c r="C327" s="1" t="s">
        <v>18</v>
      </c>
      <c r="G327" s="5">
        <v>18000</v>
      </c>
      <c r="H327" s="5">
        <v>18000</v>
      </c>
      <c r="I327" s="5">
        <v>18000</v>
      </c>
      <c r="J327" s="5">
        <f>[1]Expense!N189</f>
        <v>24996.43</v>
      </c>
      <c r="K327" s="5">
        <f>[1]Expense!I189</f>
        <v>18000</v>
      </c>
      <c r="L327" s="5">
        <f>[2]Expense!K167</f>
        <v>19032.45</v>
      </c>
      <c r="M327" s="5">
        <v>27963.34</v>
      </c>
      <c r="N327" s="5">
        <v>33625.35</v>
      </c>
      <c r="O327" s="38">
        <f t="shared" si="36"/>
        <v>0</v>
      </c>
      <c r="P327" s="18">
        <f t="shared" si="37"/>
        <v>0</v>
      </c>
    </row>
    <row r="328" spans="1:16" x14ac:dyDescent="0.25">
      <c r="A328" s="1">
        <v>14211</v>
      </c>
      <c r="B328" s="1">
        <v>51421</v>
      </c>
      <c r="C328" s="1" t="s">
        <v>101</v>
      </c>
      <c r="G328" s="5">
        <v>8000</v>
      </c>
      <c r="H328" s="5">
        <v>8000</v>
      </c>
      <c r="I328" s="5">
        <v>8000</v>
      </c>
      <c r="J328" s="5">
        <f>[1]Expense!N190</f>
        <v>1188.02</v>
      </c>
      <c r="K328" s="5">
        <f>[1]Expense!I190</f>
        <v>0</v>
      </c>
      <c r="L328" s="5">
        <f>[2]Expense!K168</f>
        <v>524.52</v>
      </c>
      <c r="O328" s="38" t="e">
        <f t="shared" si="36"/>
        <v>#DIV/0!</v>
      </c>
      <c r="P328" s="18">
        <f t="shared" si="37"/>
        <v>8000</v>
      </c>
    </row>
    <row r="329" spans="1:16" x14ac:dyDescent="0.25">
      <c r="A329" s="1">
        <v>14211</v>
      </c>
      <c r="B329" s="1">
        <v>51422</v>
      </c>
      <c r="C329" s="1" t="s">
        <v>102</v>
      </c>
      <c r="G329" s="5">
        <v>27000</v>
      </c>
      <c r="H329" s="5">
        <v>27000</v>
      </c>
      <c r="I329" s="5">
        <v>27000</v>
      </c>
      <c r="J329" s="5">
        <f>[1]Expense!N191</f>
        <v>45498.42</v>
      </c>
      <c r="K329" s="5">
        <f>[1]Expense!I191</f>
        <v>27000</v>
      </c>
      <c r="L329" s="5">
        <f>[2]Expense!K169</f>
        <v>54116.57</v>
      </c>
      <c r="M329" s="5">
        <v>33766.69</v>
      </c>
      <c r="N329" s="5">
        <v>22527.9</v>
      </c>
      <c r="O329" s="38">
        <f t="shared" si="36"/>
        <v>0</v>
      </c>
      <c r="P329" s="18">
        <f t="shared" si="37"/>
        <v>0</v>
      </c>
    </row>
    <row r="330" spans="1:16" x14ac:dyDescent="0.25">
      <c r="A330" s="1">
        <v>14211</v>
      </c>
      <c r="B330" s="1">
        <v>51500</v>
      </c>
      <c r="C330" s="1" t="s">
        <v>61</v>
      </c>
      <c r="G330" s="5">
        <v>24500</v>
      </c>
      <c r="H330" s="5">
        <v>24500</v>
      </c>
      <c r="I330" s="5">
        <v>15000</v>
      </c>
      <c r="J330" s="5">
        <f>[1]Expense!N192</f>
        <v>16542.28</v>
      </c>
      <c r="K330" s="5">
        <f>[1]Expense!I192</f>
        <v>18500</v>
      </c>
      <c r="L330" s="5">
        <f>[2]Expense!K170</f>
        <v>18557.599999999999</v>
      </c>
      <c r="M330" s="5">
        <v>21750.080000000002</v>
      </c>
      <c r="N330" s="5">
        <v>30018.87</v>
      </c>
      <c r="O330" s="38">
        <f t="shared" si="36"/>
        <v>0.32432432432432434</v>
      </c>
      <c r="P330" s="18">
        <f t="shared" si="37"/>
        <v>6000</v>
      </c>
    </row>
    <row r="331" spans="1:16" x14ac:dyDescent="0.25">
      <c r="A331" s="1">
        <v>14211</v>
      </c>
      <c r="B331" s="1">
        <v>51510</v>
      </c>
      <c r="C331" s="1" t="s">
        <v>20</v>
      </c>
      <c r="G331" s="5"/>
      <c r="H331" s="5"/>
      <c r="J331" s="5">
        <f>[1]Expense!N193</f>
        <v>3737.11</v>
      </c>
      <c r="K331" s="5">
        <f>[1]Expense!I193</f>
        <v>6000</v>
      </c>
      <c r="L331" s="5">
        <f>[2]Expense!K171</f>
        <v>4251.6000000000004</v>
      </c>
      <c r="M331" s="5">
        <v>7792.94</v>
      </c>
      <c r="N331" s="5">
        <v>8071.15</v>
      </c>
      <c r="O331" s="38">
        <f t="shared" si="36"/>
        <v>-1</v>
      </c>
      <c r="P331" s="18">
        <f t="shared" si="37"/>
        <v>-6000</v>
      </c>
    </row>
    <row r="332" spans="1:16" x14ac:dyDescent="0.25">
      <c r="A332" s="1">
        <v>14211</v>
      </c>
      <c r="B332" s="1">
        <v>51520</v>
      </c>
      <c r="C332" s="1" t="s">
        <v>21</v>
      </c>
      <c r="G332" s="5">
        <v>500</v>
      </c>
      <c r="H332" s="5">
        <v>500</v>
      </c>
      <c r="I332" s="5">
        <v>500</v>
      </c>
      <c r="J332" s="5">
        <f>[1]Expense!N194</f>
        <v>500</v>
      </c>
      <c r="K332" s="5">
        <f>[1]Expense!I194</f>
        <v>3300</v>
      </c>
      <c r="L332" s="5">
        <f>[2]Expense!K172</f>
        <v>2560</v>
      </c>
      <c r="M332" s="5">
        <v>2920</v>
      </c>
      <c r="N332" s="5">
        <v>3020</v>
      </c>
      <c r="O332" s="38">
        <f t="shared" si="36"/>
        <v>-0.84848484848484851</v>
      </c>
      <c r="P332" s="18">
        <f t="shared" si="37"/>
        <v>-2800</v>
      </c>
    </row>
    <row r="333" spans="1:16" x14ac:dyDescent="0.25">
      <c r="A333" s="1">
        <v>14211</v>
      </c>
      <c r="B333" s="1">
        <v>52100</v>
      </c>
      <c r="C333" s="1" t="s">
        <v>22</v>
      </c>
      <c r="G333" s="5">
        <v>345000</v>
      </c>
      <c r="H333" s="5">
        <v>345000</v>
      </c>
      <c r="I333" s="5">
        <v>375000</v>
      </c>
      <c r="J333" s="5">
        <f>[1]Expense!N195</f>
        <v>261685.66</v>
      </c>
      <c r="K333" s="5">
        <f>[1]Expense!I195</f>
        <v>245101</v>
      </c>
      <c r="L333" s="5">
        <f>[2]Expense!K173</f>
        <v>223631.17</v>
      </c>
      <c r="M333" s="5">
        <v>180233.06</v>
      </c>
      <c r="N333" s="5">
        <v>146023.60999999999</v>
      </c>
      <c r="O333" s="38">
        <f t="shared" si="36"/>
        <v>0.40758299639740353</v>
      </c>
      <c r="P333" s="18">
        <f t="shared" si="37"/>
        <v>99899</v>
      </c>
    </row>
    <row r="334" spans="1:16" x14ac:dyDescent="0.25">
      <c r="A334" s="1">
        <v>14211</v>
      </c>
      <c r="B334" s="1">
        <v>52140</v>
      </c>
      <c r="C334" s="1" t="s">
        <v>23</v>
      </c>
      <c r="G334" s="46">
        <v>1169</v>
      </c>
      <c r="H334" s="19">
        <v>585</v>
      </c>
      <c r="I334" s="19">
        <v>585</v>
      </c>
      <c r="J334" s="5">
        <f>[1]Expense!N196</f>
        <v>326.2</v>
      </c>
      <c r="K334" s="5">
        <f>[1]Expense!I196</f>
        <v>948.6</v>
      </c>
      <c r="O334" s="38">
        <f t="shared" si="36"/>
        <v>0.2323423993253215</v>
      </c>
      <c r="P334" s="18">
        <f t="shared" si="37"/>
        <v>220.39999999999998</v>
      </c>
    </row>
    <row r="335" spans="1:16" x14ac:dyDescent="0.25">
      <c r="A335" s="1">
        <v>14211</v>
      </c>
      <c r="B335" s="1">
        <v>52200</v>
      </c>
      <c r="C335" s="1" t="s">
        <v>24</v>
      </c>
      <c r="G335" s="5">
        <v>104600</v>
      </c>
      <c r="H335" s="5">
        <v>104600</v>
      </c>
      <c r="I335" s="5">
        <v>104600</v>
      </c>
      <c r="J335" s="5">
        <f>[1]Expense!N197</f>
        <v>89553.51</v>
      </c>
      <c r="K335" s="5">
        <f>[1]Expense!I197</f>
        <v>103830</v>
      </c>
      <c r="L335" s="5">
        <f>[2]Expense!K174</f>
        <v>76860.55</v>
      </c>
      <c r="M335" s="5">
        <v>74007.509999999995</v>
      </c>
      <c r="N335" s="5">
        <v>73118.210000000006</v>
      </c>
      <c r="O335" s="38">
        <f t="shared" si="36"/>
        <v>7.4159684099007993E-3</v>
      </c>
      <c r="P335" s="18">
        <f t="shared" si="37"/>
        <v>770</v>
      </c>
    </row>
    <row r="336" spans="1:16" x14ac:dyDescent="0.25">
      <c r="A336" s="1">
        <v>14211</v>
      </c>
      <c r="B336" s="1">
        <v>52230</v>
      </c>
      <c r="C336" s="1" t="s">
        <v>25</v>
      </c>
      <c r="G336" s="5">
        <v>286000</v>
      </c>
      <c r="H336" s="5">
        <v>286000</v>
      </c>
      <c r="I336" s="5">
        <v>286000</v>
      </c>
      <c r="J336" s="5">
        <f>[1]Expense!N198</f>
        <v>263738.58</v>
      </c>
      <c r="K336" s="5">
        <f>[1]Expense!I198</f>
        <v>321215</v>
      </c>
      <c r="L336" s="5">
        <f>[2]Expense!K175</f>
        <v>243499.11</v>
      </c>
      <c r="M336" s="5">
        <v>232257.04</v>
      </c>
      <c r="N336" s="5">
        <v>214962.49</v>
      </c>
      <c r="O336" s="38">
        <f t="shared" si="36"/>
        <v>-0.10963062123499837</v>
      </c>
      <c r="P336" s="18">
        <f t="shared" si="37"/>
        <v>-35215</v>
      </c>
    </row>
    <row r="337" spans="1:17" x14ac:dyDescent="0.25">
      <c r="A337" s="1">
        <v>14211</v>
      </c>
      <c r="B337" s="1">
        <v>52250</v>
      </c>
      <c r="C337" s="1" t="s">
        <v>26</v>
      </c>
      <c r="G337" s="19">
        <v>1560</v>
      </c>
      <c r="H337" s="19">
        <v>1560</v>
      </c>
      <c r="I337" s="19">
        <v>1560</v>
      </c>
      <c r="J337" s="5">
        <f>[1]Expense!N199</f>
        <v>1530.74</v>
      </c>
      <c r="K337" s="5">
        <f>[1]Expense!I199</f>
        <v>1531</v>
      </c>
      <c r="L337" s="5">
        <f>[2]Expense!K176</f>
        <v>1669.45</v>
      </c>
      <c r="M337" s="5">
        <v>1365.28</v>
      </c>
      <c r="N337" s="5">
        <v>1365.28</v>
      </c>
      <c r="O337" s="38">
        <f t="shared" si="36"/>
        <v>1.8941868060091443E-2</v>
      </c>
      <c r="P337" s="18">
        <f t="shared" si="37"/>
        <v>29</v>
      </c>
    </row>
    <row r="338" spans="1:17" x14ac:dyDescent="0.25">
      <c r="A338" s="1">
        <v>14211</v>
      </c>
      <c r="B338" s="1">
        <v>52260</v>
      </c>
      <c r="C338" s="1" t="s">
        <v>27</v>
      </c>
      <c r="G338" s="19">
        <v>23042</v>
      </c>
      <c r="H338" s="19">
        <v>23042</v>
      </c>
      <c r="I338" s="19">
        <v>23042</v>
      </c>
      <c r="J338" s="5">
        <f>[1]Expense!N200</f>
        <v>23044.59</v>
      </c>
      <c r="K338" s="5">
        <f>[1]Expense!I200</f>
        <v>23046</v>
      </c>
      <c r="L338" s="5">
        <f>[2]Expense!K177</f>
        <v>24067</v>
      </c>
      <c r="M338" s="5">
        <v>31077</v>
      </c>
      <c r="N338" s="5">
        <v>36213</v>
      </c>
      <c r="O338" s="38">
        <f t="shared" si="36"/>
        <v>-1.7356591165495098E-4</v>
      </c>
      <c r="P338" s="18">
        <f t="shared" si="37"/>
        <v>-4</v>
      </c>
      <c r="Q338" s="18">
        <f>SUM(P320:P338)</f>
        <v>46159.399999999994</v>
      </c>
    </row>
    <row r="339" spans="1:17" x14ac:dyDescent="0.25">
      <c r="A339" s="1">
        <v>14211</v>
      </c>
      <c r="B339" s="1">
        <v>53400</v>
      </c>
      <c r="C339" s="1" t="s">
        <v>103</v>
      </c>
      <c r="G339" s="19"/>
      <c r="J339" s="5"/>
      <c r="M339" s="5">
        <v>73.540000000000006</v>
      </c>
      <c r="N339" s="5">
        <v>0</v>
      </c>
      <c r="O339" s="38"/>
      <c r="P339" s="18"/>
    </row>
    <row r="340" spans="1:17" x14ac:dyDescent="0.25">
      <c r="A340" s="1">
        <v>14211</v>
      </c>
      <c r="B340" s="1">
        <v>53410</v>
      </c>
      <c r="C340" s="1" t="s">
        <v>29</v>
      </c>
      <c r="G340" s="5">
        <v>40996</v>
      </c>
      <c r="H340" s="5">
        <v>40996</v>
      </c>
      <c r="I340" s="5">
        <v>40996</v>
      </c>
      <c r="J340" s="5">
        <f>[1]Expense!N201</f>
        <v>20986.87</v>
      </c>
      <c r="K340" s="5">
        <f>[1]Expense!I201</f>
        <v>36437</v>
      </c>
      <c r="L340" s="5">
        <f>[2]Expense!K178</f>
        <v>18458.82</v>
      </c>
      <c r="M340" s="5">
        <v>18462.77</v>
      </c>
      <c r="N340" s="5">
        <v>17946.29</v>
      </c>
      <c r="O340" s="38">
        <f>(G340-K340)/K340</f>
        <v>0.12512007025825397</v>
      </c>
      <c r="P340" s="18">
        <f>G340-K340</f>
        <v>4559</v>
      </c>
    </row>
    <row r="341" spans="1:17" x14ac:dyDescent="0.25">
      <c r="C341" s="1" t="s">
        <v>397</v>
      </c>
      <c r="D341" s="1">
        <v>12</v>
      </c>
      <c r="E341" s="1">
        <v>700</v>
      </c>
      <c r="F341" s="1">
        <v>8400</v>
      </c>
      <c r="G341" s="19"/>
      <c r="J341" s="5"/>
      <c r="O341" s="38"/>
      <c r="P341" s="18"/>
    </row>
    <row r="342" spans="1:17" x14ac:dyDescent="0.25">
      <c r="C342" s="1" t="s">
        <v>398</v>
      </c>
      <c r="G342" s="19"/>
      <c r="J342" s="5"/>
      <c r="O342" s="38"/>
      <c r="P342" s="18"/>
    </row>
    <row r="343" spans="1:17" x14ac:dyDescent="0.25">
      <c r="C343" s="1" t="s">
        <v>399</v>
      </c>
      <c r="D343" s="1">
        <v>12</v>
      </c>
      <c r="E343" s="1">
        <v>330</v>
      </c>
      <c r="F343" s="1">
        <v>3960</v>
      </c>
      <c r="G343" s="19"/>
      <c r="J343" s="5"/>
      <c r="O343" s="38"/>
      <c r="P343" s="18"/>
    </row>
    <row r="344" spans="1:17" x14ac:dyDescent="0.25">
      <c r="C344" s="1" t="s">
        <v>400</v>
      </c>
      <c r="D344" s="1">
        <v>1</v>
      </c>
      <c r="E344" s="1">
        <v>4800</v>
      </c>
      <c r="F344" s="1">
        <v>4800</v>
      </c>
      <c r="G344" s="19"/>
      <c r="J344" s="5"/>
      <c r="O344" s="38"/>
      <c r="P344" s="18"/>
    </row>
    <row r="345" spans="1:17" x14ac:dyDescent="0.25">
      <c r="C345" s="1" t="s">
        <v>401</v>
      </c>
      <c r="G345" s="19"/>
      <c r="J345" s="5"/>
      <c r="O345" s="38"/>
      <c r="P345" s="18"/>
    </row>
    <row r="346" spans="1:17" x14ac:dyDescent="0.25">
      <c r="C346" s="1" t="s">
        <v>402</v>
      </c>
      <c r="G346" s="19"/>
      <c r="J346" s="5"/>
      <c r="O346" s="38"/>
      <c r="P346" s="18"/>
    </row>
    <row r="347" spans="1:17" x14ac:dyDescent="0.25">
      <c r="C347" s="1" t="s">
        <v>403</v>
      </c>
      <c r="D347" s="1">
        <v>1</v>
      </c>
      <c r="E347" s="1">
        <v>1000</v>
      </c>
      <c r="F347" s="1">
        <v>1000</v>
      </c>
      <c r="G347" s="19"/>
      <c r="J347" s="5"/>
      <c r="O347" s="38"/>
      <c r="P347" s="18"/>
    </row>
    <row r="348" spans="1:17" x14ac:dyDescent="0.25">
      <c r="C348" s="1" t="s">
        <v>665</v>
      </c>
      <c r="F348" s="1">
        <v>22836</v>
      </c>
      <c r="G348" s="19"/>
      <c r="J348" s="5"/>
      <c r="O348" s="38"/>
      <c r="P348" s="18"/>
    </row>
    <row r="349" spans="1:17" x14ac:dyDescent="0.25">
      <c r="C349" s="1" t="s">
        <v>404</v>
      </c>
      <c r="G349" s="19"/>
      <c r="J349" s="5"/>
      <c r="O349" s="38"/>
      <c r="P349" s="18"/>
    </row>
    <row r="350" spans="1:17" x14ac:dyDescent="0.25">
      <c r="C350" s="1" t="s">
        <v>695</v>
      </c>
      <c r="G350" s="19"/>
      <c r="J350" s="5"/>
      <c r="O350" s="38"/>
      <c r="P350" s="18"/>
    </row>
    <row r="351" spans="1:17" x14ac:dyDescent="0.25">
      <c r="C351" s="1" t="s">
        <v>405</v>
      </c>
      <c r="G351" s="19"/>
      <c r="J351" s="5"/>
      <c r="O351" s="38"/>
      <c r="P351" s="18"/>
    </row>
    <row r="352" spans="1:17" x14ac:dyDescent="0.25">
      <c r="C352" s="1" t="s">
        <v>406</v>
      </c>
      <c r="G352" s="19"/>
      <c r="O352" s="38"/>
      <c r="P352" s="18"/>
    </row>
    <row r="353" spans="1:16" x14ac:dyDescent="0.25">
      <c r="C353" s="1" t="s">
        <v>407</v>
      </c>
      <c r="G353" s="19"/>
      <c r="O353" s="38"/>
      <c r="P353" s="18"/>
    </row>
    <row r="354" spans="1:16" x14ac:dyDescent="0.25">
      <c r="A354" s="1">
        <v>14211</v>
      </c>
      <c r="B354" s="1">
        <v>53412</v>
      </c>
      <c r="C354" s="1" t="s">
        <v>104</v>
      </c>
      <c r="G354" s="5">
        <v>240</v>
      </c>
      <c r="H354" s="5">
        <v>240</v>
      </c>
      <c r="I354" s="5">
        <v>240</v>
      </c>
      <c r="J354" s="5">
        <f>[1]Expense!N202</f>
        <v>550.22</v>
      </c>
      <c r="K354" s="5">
        <f>[1]Expense!I202</f>
        <v>645</v>
      </c>
      <c r="L354" s="5">
        <f>[2]Expense!K179</f>
        <v>600.24</v>
      </c>
      <c r="M354" s="5">
        <v>536.63</v>
      </c>
      <c r="N354" s="5">
        <v>519.98</v>
      </c>
      <c r="O354" s="38">
        <f>(G354-K354)/K354</f>
        <v>-0.62790697674418605</v>
      </c>
      <c r="P354" s="18">
        <f>G354-K354</f>
        <v>-405</v>
      </c>
    </row>
    <row r="355" spans="1:16" x14ac:dyDescent="0.25">
      <c r="A355" s="1">
        <v>14211</v>
      </c>
      <c r="B355" s="1">
        <v>53420</v>
      </c>
      <c r="C355" s="1" t="s">
        <v>77</v>
      </c>
      <c r="G355" s="5">
        <v>11040</v>
      </c>
      <c r="H355" s="5">
        <v>11040</v>
      </c>
      <c r="I355" s="5">
        <v>11040</v>
      </c>
      <c r="J355" s="5">
        <f>[1]Expense!N203</f>
        <v>19205.11</v>
      </c>
      <c r="K355" s="5">
        <f>[1]Expense!I203</f>
        <v>20240</v>
      </c>
      <c r="L355" s="5">
        <f>[2]Expense!K180</f>
        <v>27310.720000000001</v>
      </c>
      <c r="M355" s="5">
        <v>16318.21</v>
      </c>
      <c r="N355" s="5">
        <v>72910.600000000006</v>
      </c>
      <c r="O355" s="38">
        <f>(G355-K355)/K355</f>
        <v>-0.45454545454545453</v>
      </c>
      <c r="P355" s="18">
        <f>G355-K355</f>
        <v>-9200</v>
      </c>
    </row>
    <row r="356" spans="1:16" x14ac:dyDescent="0.25">
      <c r="C356" s="1" t="s">
        <v>408</v>
      </c>
      <c r="D356" s="1">
        <v>1</v>
      </c>
      <c r="E356" s="1">
        <v>11040</v>
      </c>
      <c r="F356" s="1">
        <v>11040</v>
      </c>
      <c r="G356" s="19"/>
      <c r="J356" s="5"/>
      <c r="O356" s="38"/>
      <c r="P356" s="18"/>
    </row>
    <row r="357" spans="1:16" x14ac:dyDescent="0.25">
      <c r="C357" s="1" t="s">
        <v>409</v>
      </c>
      <c r="G357" s="19"/>
      <c r="O357" s="38"/>
      <c r="P357" s="18"/>
    </row>
    <row r="358" spans="1:16" x14ac:dyDescent="0.25">
      <c r="C358" s="1" t="s">
        <v>410</v>
      </c>
      <c r="G358" s="19"/>
      <c r="J358" s="5"/>
      <c r="O358" s="38"/>
      <c r="P358" s="18"/>
    </row>
    <row r="359" spans="1:16" x14ac:dyDescent="0.25">
      <c r="A359" s="1">
        <v>14211</v>
      </c>
      <c r="B359" s="1">
        <v>53425</v>
      </c>
      <c r="C359" s="1" t="s">
        <v>31</v>
      </c>
      <c r="G359" s="65">
        <f>SUM(F360:F362)</f>
        <v>46298</v>
      </c>
      <c r="H359" s="19">
        <v>49298</v>
      </c>
      <c r="I359" s="19">
        <f>SUM(F360:F362)</f>
        <v>46298</v>
      </c>
      <c r="J359" s="5">
        <f>[1]Expense!N204</f>
        <v>25476.28</v>
      </c>
      <c r="K359" s="5">
        <f>[1]Expense!I204</f>
        <v>29670</v>
      </c>
      <c r="L359" s="5">
        <f>[2]Expense!K181</f>
        <v>27487.360000000001</v>
      </c>
      <c r="M359" s="5">
        <v>20195.25</v>
      </c>
      <c r="O359" s="38">
        <f>(G359-K359)/K359</f>
        <v>0.56043141220087633</v>
      </c>
      <c r="P359" s="18">
        <f>G359-K359</f>
        <v>16628</v>
      </c>
    </row>
    <row r="360" spans="1:16" x14ac:dyDescent="0.25">
      <c r="C360" s="1" t="s">
        <v>420</v>
      </c>
      <c r="D360" s="1">
        <v>1</v>
      </c>
      <c r="E360" s="1">
        <v>45338</v>
      </c>
      <c r="F360" s="1">
        <v>45338</v>
      </c>
      <c r="G360" s="19"/>
      <c r="I360" s="19"/>
      <c r="J360" s="5"/>
      <c r="O360" s="38"/>
      <c r="P360" s="18"/>
    </row>
    <row r="361" spans="1:16" x14ac:dyDescent="0.25">
      <c r="C361" s="1" t="s">
        <v>421</v>
      </c>
      <c r="D361" s="1">
        <v>1</v>
      </c>
      <c r="E361" s="1">
        <v>0</v>
      </c>
      <c r="F361" s="1">
        <v>0</v>
      </c>
      <c r="G361" s="19"/>
      <c r="I361" s="19"/>
      <c r="O361" s="38"/>
      <c r="P361" s="18"/>
    </row>
    <row r="362" spans="1:16" x14ac:dyDescent="0.25">
      <c r="C362" s="1" t="s">
        <v>422</v>
      </c>
      <c r="D362" s="1">
        <v>1</v>
      </c>
      <c r="E362" s="1">
        <v>960</v>
      </c>
      <c r="F362" s="1">
        <v>960</v>
      </c>
      <c r="G362" s="19"/>
      <c r="I362" s="19"/>
      <c r="J362" s="5"/>
      <c r="O362" s="38"/>
      <c r="P362" s="18"/>
    </row>
    <row r="363" spans="1:16" x14ac:dyDescent="0.25">
      <c r="A363" s="1">
        <v>14211</v>
      </c>
      <c r="B363" s="1">
        <v>53905</v>
      </c>
      <c r="C363" s="1" t="s">
        <v>105</v>
      </c>
      <c r="G363" s="5">
        <v>30001</v>
      </c>
      <c r="H363" s="5">
        <v>30001</v>
      </c>
      <c r="I363" s="5">
        <v>30001</v>
      </c>
      <c r="J363" s="5">
        <f>[1]Expense!N205</f>
        <v>29704.27</v>
      </c>
      <c r="K363" s="5">
        <f>[1]Expense!I205</f>
        <v>30001</v>
      </c>
      <c r="L363" s="5">
        <f>[2]Expense!K182</f>
        <v>22428.14</v>
      </c>
      <c r="M363" s="5">
        <v>9898.09</v>
      </c>
      <c r="N363" s="5">
        <v>43382.89</v>
      </c>
      <c r="O363" s="38">
        <f>(G363-K363)/K363</f>
        <v>0</v>
      </c>
      <c r="P363" s="18">
        <f>G363-K363</f>
        <v>0</v>
      </c>
    </row>
    <row r="364" spans="1:16" x14ac:dyDescent="0.25">
      <c r="C364" s="1" t="s">
        <v>423</v>
      </c>
      <c r="D364" s="1">
        <v>1</v>
      </c>
      <c r="E364" s="1">
        <v>19088</v>
      </c>
      <c r="F364" s="1">
        <v>19088</v>
      </c>
      <c r="G364" s="19"/>
      <c r="J364" s="5"/>
      <c r="O364" s="38"/>
      <c r="P364" s="18"/>
    </row>
    <row r="365" spans="1:16" x14ac:dyDescent="0.25">
      <c r="C365" s="1" t="s">
        <v>424</v>
      </c>
      <c r="D365" s="1">
        <v>1</v>
      </c>
      <c r="E365" s="1">
        <v>1300</v>
      </c>
      <c r="F365" s="1">
        <v>1300</v>
      </c>
      <c r="G365" s="19"/>
      <c r="J365" s="5"/>
      <c r="O365" s="38"/>
      <c r="P365" s="18"/>
    </row>
    <row r="366" spans="1:16" x14ac:dyDescent="0.25">
      <c r="C366" s="1" t="s">
        <v>425</v>
      </c>
      <c r="G366" s="19"/>
      <c r="J366" s="5"/>
      <c r="O366" s="38"/>
      <c r="P366" s="18"/>
    </row>
    <row r="367" spans="1:16" x14ac:dyDescent="0.25">
      <c r="C367" s="1" t="s">
        <v>426</v>
      </c>
      <c r="D367" s="1">
        <v>1</v>
      </c>
      <c r="E367" s="1">
        <v>4513</v>
      </c>
      <c r="F367" s="1">
        <v>4513</v>
      </c>
      <c r="G367" s="19"/>
      <c r="O367" s="38"/>
      <c r="P367" s="18"/>
    </row>
    <row r="368" spans="1:16" x14ac:dyDescent="0.25">
      <c r="C368" s="1" t="s">
        <v>427</v>
      </c>
      <c r="D368" s="1">
        <v>1</v>
      </c>
      <c r="E368" s="1">
        <v>5100</v>
      </c>
      <c r="F368" s="1">
        <v>5100</v>
      </c>
      <c r="G368" s="19"/>
      <c r="J368" s="5"/>
      <c r="O368" s="38"/>
      <c r="P368" s="18"/>
    </row>
    <row r="369" spans="1:16" x14ac:dyDescent="0.25">
      <c r="A369" s="1">
        <v>14211</v>
      </c>
      <c r="B369" s="1">
        <v>54352</v>
      </c>
      <c r="C369" s="1" t="s">
        <v>106</v>
      </c>
      <c r="G369" s="5">
        <v>20000</v>
      </c>
      <c r="H369" s="5">
        <v>20000</v>
      </c>
      <c r="I369" s="5">
        <v>20000</v>
      </c>
      <c r="J369" s="5">
        <f>[1]Expense!N206</f>
        <v>10768.56</v>
      </c>
      <c r="K369" s="5">
        <f>[1]Expense!I206</f>
        <v>15000</v>
      </c>
      <c r="L369" s="5">
        <f>[2]Expense!K183</f>
        <v>7005.23</v>
      </c>
      <c r="M369" s="5">
        <v>7390.49</v>
      </c>
      <c r="N369" s="5">
        <v>11403.06</v>
      </c>
      <c r="O369" s="38">
        <f>(G369-K369)/K369</f>
        <v>0.33333333333333331</v>
      </c>
      <c r="P369" s="18">
        <f>G369-K369</f>
        <v>5000</v>
      </c>
    </row>
    <row r="370" spans="1:16" x14ac:dyDescent="0.25">
      <c r="C370" s="1" t="s">
        <v>428</v>
      </c>
      <c r="D370" s="1">
        <v>1</v>
      </c>
      <c r="E370" s="1">
        <v>10000</v>
      </c>
      <c r="F370" s="1">
        <v>10000</v>
      </c>
      <c r="G370" s="19"/>
      <c r="J370" s="5"/>
      <c r="O370" s="38"/>
      <c r="P370" s="18"/>
    </row>
    <row r="371" spans="1:16" x14ac:dyDescent="0.25">
      <c r="C371" s="1" t="s">
        <v>429</v>
      </c>
      <c r="G371" s="19"/>
      <c r="J371" s="5"/>
      <c r="O371" s="38"/>
      <c r="P371" s="18"/>
    </row>
    <row r="372" spans="1:16" x14ac:dyDescent="0.25">
      <c r="C372" s="1" t="s">
        <v>430</v>
      </c>
      <c r="G372" s="19"/>
      <c r="J372" s="5"/>
      <c r="O372" s="38"/>
      <c r="P372" s="18"/>
    </row>
    <row r="373" spans="1:16" x14ac:dyDescent="0.25">
      <c r="C373" s="1" t="s">
        <v>431</v>
      </c>
      <c r="D373" s="1">
        <v>1</v>
      </c>
      <c r="E373" s="1">
        <v>5000</v>
      </c>
      <c r="F373" s="1">
        <v>5000</v>
      </c>
      <c r="G373" s="19"/>
      <c r="J373" s="5"/>
      <c r="O373" s="38"/>
      <c r="P373" s="18"/>
    </row>
    <row r="374" spans="1:16" x14ac:dyDescent="0.25">
      <c r="C374" s="1" t="s">
        <v>432</v>
      </c>
      <c r="G374" s="19"/>
      <c r="J374" s="5"/>
      <c r="O374" s="38"/>
      <c r="P374" s="18"/>
    </row>
    <row r="375" spans="1:16" x14ac:dyDescent="0.25">
      <c r="C375" s="1" t="s">
        <v>433</v>
      </c>
      <c r="D375" s="1">
        <v>1</v>
      </c>
      <c r="E375" s="1">
        <v>5000</v>
      </c>
      <c r="F375" s="1">
        <v>5000</v>
      </c>
      <c r="G375" s="19"/>
      <c r="J375" s="5"/>
      <c r="O375" s="38"/>
      <c r="P375" s="18"/>
    </row>
    <row r="376" spans="1:16" x14ac:dyDescent="0.25">
      <c r="C376" s="1" t="s">
        <v>434</v>
      </c>
      <c r="G376" s="19"/>
      <c r="J376" s="5"/>
      <c r="O376" s="38"/>
      <c r="P376" s="18"/>
    </row>
    <row r="377" spans="1:16" x14ac:dyDescent="0.25">
      <c r="C377" s="1" t="s">
        <v>435</v>
      </c>
      <c r="G377" s="19"/>
      <c r="J377" s="5"/>
      <c r="O377" s="38"/>
      <c r="P377" s="18"/>
    </row>
    <row r="378" spans="1:16" x14ac:dyDescent="0.25">
      <c r="A378" s="1">
        <v>14211</v>
      </c>
      <c r="B378" s="1">
        <v>54353</v>
      </c>
      <c r="C378" s="1" t="s">
        <v>35</v>
      </c>
      <c r="D378" s="1">
        <v>12</v>
      </c>
      <c r="E378" s="1">
        <v>310</v>
      </c>
      <c r="F378" s="1">
        <v>3720</v>
      </c>
      <c r="G378" s="5">
        <v>3720</v>
      </c>
      <c r="H378" s="5">
        <v>3720</v>
      </c>
      <c r="I378" s="5">
        <v>3720</v>
      </c>
      <c r="J378" s="5">
        <f>[1]Expense!N207</f>
        <v>3509.85</v>
      </c>
      <c r="K378" s="5">
        <f>[1]Expense!I207</f>
        <v>3504</v>
      </c>
      <c r="L378" s="5">
        <f>[2]Expense!K184</f>
        <v>3354.93</v>
      </c>
      <c r="M378" s="5">
        <v>1759.61</v>
      </c>
      <c r="N378" s="5">
        <v>1696.92</v>
      </c>
      <c r="O378" s="38">
        <f>(G378-K378)/K378</f>
        <v>6.1643835616438353E-2</v>
      </c>
      <c r="P378" s="18">
        <f>G378-K378</f>
        <v>216</v>
      </c>
    </row>
    <row r="379" spans="1:16" x14ac:dyDescent="0.25">
      <c r="A379" s="1">
        <v>14211</v>
      </c>
      <c r="B379" s="1">
        <v>54425</v>
      </c>
      <c r="C379" s="1" t="s">
        <v>232</v>
      </c>
      <c r="G379" s="65">
        <f>SUM(F380:F385)</f>
        <v>66800</v>
      </c>
      <c r="H379" s="5">
        <v>74800</v>
      </c>
      <c r="I379" s="5">
        <v>74800</v>
      </c>
      <c r="J379" s="5"/>
      <c r="O379" s="38" t="e">
        <f>(G379-K379)/K379</f>
        <v>#DIV/0!</v>
      </c>
      <c r="P379" s="18">
        <f>G379-K379</f>
        <v>66800</v>
      </c>
    </row>
    <row r="380" spans="1:16" x14ac:dyDescent="0.25">
      <c r="C380" s="1" t="s">
        <v>411</v>
      </c>
      <c r="D380" s="1">
        <v>1</v>
      </c>
      <c r="E380" s="1">
        <v>18000</v>
      </c>
      <c r="F380" s="1">
        <v>18000</v>
      </c>
      <c r="G380" s="19"/>
      <c r="J380" s="5"/>
      <c r="O380" s="38"/>
      <c r="P380" s="18"/>
    </row>
    <row r="381" spans="1:16" x14ac:dyDescent="0.25">
      <c r="C381" s="1" t="s">
        <v>412</v>
      </c>
      <c r="D381" s="1">
        <v>1</v>
      </c>
      <c r="E381" s="1">
        <v>10000</v>
      </c>
      <c r="F381" s="66">
        <v>10000</v>
      </c>
      <c r="G381" s="19"/>
      <c r="J381" s="5"/>
      <c r="O381" s="38"/>
      <c r="P381" s="18"/>
    </row>
    <row r="382" spans="1:16" x14ac:dyDescent="0.25">
      <c r="C382" s="1" t="s">
        <v>413</v>
      </c>
      <c r="D382" s="1">
        <v>1</v>
      </c>
      <c r="E382" s="1">
        <v>1800</v>
      </c>
      <c r="F382" s="1">
        <v>1800</v>
      </c>
      <c r="G382" s="19"/>
      <c r="J382" s="5"/>
      <c r="O382" s="38"/>
      <c r="P382" s="18"/>
    </row>
    <row r="383" spans="1:16" x14ac:dyDescent="0.25">
      <c r="C383" s="1" t="s">
        <v>414</v>
      </c>
      <c r="D383" s="1">
        <v>1</v>
      </c>
      <c r="E383" s="1">
        <v>1000</v>
      </c>
      <c r="F383" s="1">
        <v>1000</v>
      </c>
      <c r="G383" s="19"/>
      <c r="J383" s="5"/>
      <c r="O383" s="38"/>
      <c r="P383" s="18"/>
    </row>
    <row r="384" spans="1:16" x14ac:dyDescent="0.25">
      <c r="C384" s="1" t="s">
        <v>415</v>
      </c>
      <c r="D384" s="1">
        <v>1</v>
      </c>
      <c r="E384" s="1">
        <v>18000</v>
      </c>
      <c r="F384" s="1">
        <v>18000</v>
      </c>
      <c r="G384" s="19"/>
      <c r="J384" s="5"/>
      <c r="O384" s="38"/>
      <c r="P384" s="18"/>
    </row>
    <row r="385" spans="1:16" x14ac:dyDescent="0.25">
      <c r="C385" s="1" t="s">
        <v>416</v>
      </c>
      <c r="D385" s="1">
        <v>1</v>
      </c>
      <c r="E385" s="1">
        <v>18000</v>
      </c>
      <c r="F385" s="1">
        <v>18000</v>
      </c>
      <c r="G385" s="19"/>
      <c r="J385" s="5"/>
      <c r="O385" s="38"/>
      <c r="P385" s="18"/>
    </row>
    <row r="386" spans="1:16" x14ac:dyDescent="0.25">
      <c r="A386" s="1">
        <v>14211</v>
      </c>
      <c r="B386" s="1">
        <v>54800</v>
      </c>
      <c r="C386" s="1" t="s">
        <v>36</v>
      </c>
      <c r="G386" s="19">
        <v>32377</v>
      </c>
      <c r="H386" s="19">
        <v>32377</v>
      </c>
      <c r="I386" s="19">
        <v>32377</v>
      </c>
      <c r="J386" s="5">
        <f>[1]Expense!N208</f>
        <v>27483.99</v>
      </c>
      <c r="K386" s="5">
        <f>[1]Expense!I208</f>
        <v>27484</v>
      </c>
      <c r="L386" s="5">
        <f>[2]Expense!K185</f>
        <v>24985.5</v>
      </c>
      <c r="M386" s="5">
        <v>23350.84</v>
      </c>
      <c r="N386" s="5">
        <v>21823.18</v>
      </c>
      <c r="O386" s="38">
        <f>(G386-K386)/K386</f>
        <v>0.17803085431523796</v>
      </c>
      <c r="P386" s="18">
        <f>G386-K386</f>
        <v>4893</v>
      </c>
    </row>
    <row r="387" spans="1:16" x14ac:dyDescent="0.25">
      <c r="A387" s="1">
        <v>14211</v>
      </c>
      <c r="B387" s="1">
        <v>55000</v>
      </c>
      <c r="C387" s="1" t="s">
        <v>107</v>
      </c>
      <c r="G387" s="5">
        <v>500</v>
      </c>
      <c r="H387" s="5">
        <v>500</v>
      </c>
      <c r="I387" s="5">
        <v>500</v>
      </c>
      <c r="J387" s="5">
        <f>[1]Expense!N209</f>
        <v>124</v>
      </c>
      <c r="K387" s="5">
        <f>[1]Expense!I209</f>
        <v>500</v>
      </c>
      <c r="L387" s="5">
        <f>[2]Expense!K186</f>
        <v>204</v>
      </c>
      <c r="M387" s="5">
        <v>468</v>
      </c>
      <c r="N387" s="5">
        <v>456.7</v>
      </c>
      <c r="O387" s="38">
        <f>(G387-K387)/K387</f>
        <v>0</v>
      </c>
      <c r="P387" s="18">
        <f>G387-K387</f>
        <v>0</v>
      </c>
    </row>
    <row r="388" spans="1:16" x14ac:dyDescent="0.25">
      <c r="C388" s="1" t="s">
        <v>436</v>
      </c>
      <c r="D388" s="1">
        <v>1</v>
      </c>
      <c r="E388" s="1">
        <v>500</v>
      </c>
      <c r="F388" s="1">
        <v>500</v>
      </c>
      <c r="G388" s="19"/>
      <c r="J388" s="5"/>
      <c r="O388" s="38"/>
      <c r="P388" s="18"/>
    </row>
    <row r="389" spans="1:16" x14ac:dyDescent="0.25">
      <c r="A389" s="1">
        <v>14211</v>
      </c>
      <c r="B389" s="1">
        <v>55200</v>
      </c>
      <c r="C389" s="1" t="s">
        <v>108</v>
      </c>
      <c r="G389" s="19"/>
      <c r="I389" s="5">
        <v>0</v>
      </c>
      <c r="J389" s="5"/>
      <c r="M389" s="5">
        <v>1950</v>
      </c>
      <c r="N389" s="5">
        <v>0</v>
      </c>
      <c r="O389" s="38"/>
      <c r="P389" s="18"/>
    </row>
    <row r="390" spans="1:16" x14ac:dyDescent="0.25">
      <c r="A390" s="1">
        <v>14211</v>
      </c>
      <c r="B390" s="1">
        <v>55500</v>
      </c>
      <c r="C390" s="1" t="s">
        <v>37</v>
      </c>
      <c r="G390" s="5">
        <v>500</v>
      </c>
      <c r="H390" s="5">
        <v>500</v>
      </c>
      <c r="I390" s="5">
        <v>500</v>
      </c>
      <c r="J390" s="5">
        <f>[1]Expense!N211</f>
        <v>553.77</v>
      </c>
      <c r="K390" s="5">
        <f>[1]Expense!I211</f>
        <v>575</v>
      </c>
      <c r="L390" s="5">
        <f>[2]Expense!K188</f>
        <v>468.49</v>
      </c>
      <c r="M390" s="5">
        <v>320</v>
      </c>
      <c r="N390" s="5">
        <v>344.36</v>
      </c>
      <c r="O390" s="38">
        <f>(G390-K390)/K390</f>
        <v>-0.13043478260869565</v>
      </c>
      <c r="P390" s="18">
        <f>G390-K390</f>
        <v>-75</v>
      </c>
    </row>
    <row r="391" spans="1:16" x14ac:dyDescent="0.25">
      <c r="C391" s="1" t="s">
        <v>437</v>
      </c>
      <c r="G391" s="19"/>
      <c r="J391" s="5"/>
      <c r="O391" s="38"/>
      <c r="P391" s="18"/>
    </row>
    <row r="392" spans="1:16" x14ac:dyDescent="0.25">
      <c r="A392" s="1">
        <v>14211</v>
      </c>
      <c r="B392" s="1">
        <v>55600</v>
      </c>
      <c r="C392" s="1" t="s">
        <v>50</v>
      </c>
      <c r="G392" s="65">
        <f>SUM(F393:F401)</f>
        <v>950</v>
      </c>
      <c r="H392" s="5">
        <v>1625</v>
      </c>
      <c r="I392" s="5">
        <v>1625</v>
      </c>
      <c r="J392" s="5">
        <f>[1]Expense!N212</f>
        <v>1607</v>
      </c>
      <c r="K392" s="5">
        <f>[1]Expense!I212</f>
        <v>1625</v>
      </c>
      <c r="L392" s="5">
        <f>[2]Expense!K189</f>
        <v>1465</v>
      </c>
      <c r="M392" s="5">
        <v>940</v>
      </c>
      <c r="N392" s="5">
        <v>1335</v>
      </c>
      <c r="O392" s="38">
        <f>(G392-K392)/K392</f>
        <v>-0.41538461538461541</v>
      </c>
      <c r="P392" s="18">
        <f>G392-K392</f>
        <v>-675</v>
      </c>
    </row>
    <row r="393" spans="1:16" x14ac:dyDescent="0.25">
      <c r="C393" s="1" t="s">
        <v>438</v>
      </c>
      <c r="D393" s="1">
        <v>1</v>
      </c>
      <c r="E393" s="1">
        <v>675</v>
      </c>
      <c r="F393" s="1">
        <v>0</v>
      </c>
      <c r="G393" s="19"/>
      <c r="J393" s="5"/>
      <c r="O393" s="38"/>
      <c r="P393" s="18"/>
    </row>
    <row r="394" spans="1:16" x14ac:dyDescent="0.25">
      <c r="C394" s="1" t="s">
        <v>439</v>
      </c>
      <c r="D394" s="1">
        <v>1</v>
      </c>
      <c r="E394" s="1">
        <v>150</v>
      </c>
      <c r="F394" s="1">
        <v>150</v>
      </c>
      <c r="G394" s="19"/>
      <c r="J394" s="5"/>
      <c r="O394" s="38"/>
      <c r="P394" s="18"/>
    </row>
    <row r="395" spans="1:16" x14ac:dyDescent="0.25">
      <c r="C395" s="1" t="s">
        <v>440</v>
      </c>
      <c r="D395" s="1">
        <v>1</v>
      </c>
      <c r="E395" s="1">
        <v>50</v>
      </c>
      <c r="F395" s="1">
        <v>50</v>
      </c>
      <c r="G395" s="19"/>
      <c r="J395" s="5"/>
      <c r="O395" s="38"/>
      <c r="P395" s="18"/>
    </row>
    <row r="396" spans="1:16" x14ac:dyDescent="0.25">
      <c r="C396" s="1" t="s">
        <v>441</v>
      </c>
      <c r="D396" s="1">
        <v>1</v>
      </c>
      <c r="E396" s="1">
        <v>150</v>
      </c>
      <c r="F396" s="1">
        <v>150</v>
      </c>
      <c r="G396" s="19"/>
      <c r="J396" s="5"/>
      <c r="O396" s="38"/>
      <c r="P396" s="18"/>
    </row>
    <row r="397" spans="1:16" x14ac:dyDescent="0.25">
      <c r="C397" s="1" t="s">
        <v>442</v>
      </c>
      <c r="D397" s="1">
        <v>1</v>
      </c>
      <c r="E397" s="1">
        <v>300</v>
      </c>
      <c r="F397" s="1">
        <v>300</v>
      </c>
      <c r="G397" s="19"/>
      <c r="J397" s="5"/>
      <c r="O397" s="38"/>
      <c r="P397" s="18"/>
    </row>
    <row r="398" spans="1:16" x14ac:dyDescent="0.25">
      <c r="C398" s="1" t="s">
        <v>443</v>
      </c>
      <c r="D398" s="1">
        <v>1</v>
      </c>
      <c r="E398" s="1">
        <v>100</v>
      </c>
      <c r="F398" s="1">
        <v>100</v>
      </c>
      <c r="G398" s="19"/>
      <c r="J398" s="5"/>
      <c r="O398" s="38"/>
      <c r="P398" s="18"/>
    </row>
    <row r="399" spans="1:16" x14ac:dyDescent="0.25">
      <c r="C399" s="1" t="s">
        <v>444</v>
      </c>
      <c r="G399" s="19"/>
      <c r="J399" s="5"/>
      <c r="O399" s="38"/>
      <c r="P399" s="18"/>
    </row>
    <row r="400" spans="1:16" x14ac:dyDescent="0.25">
      <c r="C400" s="1" t="s">
        <v>445</v>
      </c>
      <c r="G400" s="19"/>
      <c r="O400" s="38"/>
      <c r="P400" s="18"/>
    </row>
    <row r="401" spans="1:16" x14ac:dyDescent="0.25">
      <c r="C401" s="1" t="s">
        <v>446</v>
      </c>
      <c r="D401" s="1">
        <v>1</v>
      </c>
      <c r="E401" s="1">
        <v>200</v>
      </c>
      <c r="F401" s="1">
        <v>200</v>
      </c>
      <c r="G401" s="19"/>
      <c r="O401" s="38"/>
      <c r="P401" s="18"/>
    </row>
    <row r="402" spans="1:16" x14ac:dyDescent="0.25">
      <c r="A402" s="1">
        <v>14211</v>
      </c>
      <c r="B402" s="1">
        <v>56100</v>
      </c>
      <c r="C402" s="1" t="s">
        <v>71</v>
      </c>
      <c r="G402" s="5">
        <v>800</v>
      </c>
      <c r="H402" s="5">
        <v>800</v>
      </c>
      <c r="I402" s="5">
        <v>800</v>
      </c>
      <c r="J402" s="5">
        <f>[1]Expense!N213</f>
        <v>787.98</v>
      </c>
      <c r="K402" s="5">
        <f>[1]Expense!I213</f>
        <v>800</v>
      </c>
      <c r="L402" s="5">
        <f>[2]Expense!K190</f>
        <v>423.63</v>
      </c>
      <c r="M402" s="5">
        <v>706</v>
      </c>
      <c r="N402" s="5">
        <v>1113.3800000000001</v>
      </c>
      <c r="O402" s="38">
        <f>(G402-K402)/K402</f>
        <v>0</v>
      </c>
      <c r="P402" s="18">
        <f>G402-K402</f>
        <v>0</v>
      </c>
    </row>
    <row r="403" spans="1:16" x14ac:dyDescent="0.25">
      <c r="A403" s="1">
        <v>14211</v>
      </c>
      <c r="B403" s="1">
        <v>56105</v>
      </c>
      <c r="C403" s="1" t="s">
        <v>38</v>
      </c>
      <c r="G403" s="5">
        <v>200</v>
      </c>
      <c r="H403" s="5">
        <v>200</v>
      </c>
      <c r="I403" s="5">
        <v>200</v>
      </c>
      <c r="J403" s="5">
        <f>[1]Expense!N214</f>
        <v>0</v>
      </c>
      <c r="K403" s="5">
        <f>[1]Expense!I214</f>
        <v>200</v>
      </c>
      <c r="L403" s="5">
        <f>[2]Expense!K191</f>
        <v>255</v>
      </c>
      <c r="M403" s="5">
        <v>0</v>
      </c>
      <c r="N403" s="5">
        <v>237.3</v>
      </c>
      <c r="O403" s="38">
        <f>(G403-K403)/K403</f>
        <v>0</v>
      </c>
      <c r="P403" s="18">
        <f>G403-K403</f>
        <v>0</v>
      </c>
    </row>
    <row r="404" spans="1:16" x14ac:dyDescent="0.25">
      <c r="A404" s="1">
        <v>14211</v>
      </c>
      <c r="B404" s="1">
        <v>56110</v>
      </c>
      <c r="C404" s="1" t="s">
        <v>85</v>
      </c>
      <c r="G404" s="5">
        <v>10000</v>
      </c>
      <c r="H404" s="5">
        <v>10000</v>
      </c>
      <c r="I404" s="5">
        <v>10000</v>
      </c>
      <c r="J404" s="5">
        <f>[1]Expense!N215</f>
        <v>7811.25</v>
      </c>
      <c r="K404" s="5">
        <f>[1]Expense!I215</f>
        <v>10000</v>
      </c>
      <c r="L404" s="5">
        <f>[2]Expense!K192</f>
        <v>5258.77</v>
      </c>
      <c r="M404" s="5">
        <v>2303.15</v>
      </c>
      <c r="N404" s="5">
        <v>2184.5100000000002</v>
      </c>
      <c r="O404" s="38">
        <f>(G404-K404)/K404</f>
        <v>0</v>
      </c>
      <c r="P404" s="18">
        <f>G404-K404</f>
        <v>0</v>
      </c>
    </row>
    <row r="405" spans="1:16" x14ac:dyDescent="0.25">
      <c r="C405" s="1" t="s">
        <v>447</v>
      </c>
      <c r="D405" s="1">
        <v>1</v>
      </c>
      <c r="E405" s="1">
        <v>10000</v>
      </c>
      <c r="F405" s="1">
        <v>10000</v>
      </c>
      <c r="G405" s="19"/>
      <c r="J405" s="5"/>
      <c r="O405" s="38"/>
      <c r="P405" s="18"/>
    </row>
    <row r="406" spans="1:16" x14ac:dyDescent="0.25">
      <c r="C406" s="1" t="s">
        <v>448</v>
      </c>
      <c r="G406" s="19"/>
      <c r="O406" s="38"/>
      <c r="P406" s="18"/>
    </row>
    <row r="407" spans="1:16" x14ac:dyDescent="0.25">
      <c r="A407" s="1">
        <v>14211</v>
      </c>
      <c r="B407" s="1">
        <v>56112</v>
      </c>
      <c r="C407" s="1" t="s">
        <v>109</v>
      </c>
      <c r="G407" s="5">
        <v>5550</v>
      </c>
      <c r="H407" s="5">
        <v>5550</v>
      </c>
      <c r="I407" s="5">
        <v>5550</v>
      </c>
      <c r="J407" s="5">
        <f>[1]Expense!N216</f>
        <v>5190.1499999999996</v>
      </c>
      <c r="K407" s="5">
        <f>[1]Expense!I216</f>
        <v>5550</v>
      </c>
      <c r="L407" s="5">
        <f>[2]Expense!K193</f>
        <v>4694.8599999999997</v>
      </c>
      <c r="M407" s="5">
        <v>4880.96</v>
      </c>
      <c r="N407" s="5">
        <v>4598.1099999999997</v>
      </c>
      <c r="O407" s="38">
        <f>(G407-K407)/K407</f>
        <v>0</v>
      </c>
      <c r="P407" s="18">
        <f>G407-K407</f>
        <v>0</v>
      </c>
    </row>
    <row r="408" spans="1:16" x14ac:dyDescent="0.25">
      <c r="C408" s="1" t="s">
        <v>449</v>
      </c>
      <c r="G408" s="19"/>
      <c r="J408" s="5"/>
      <c r="O408" s="38"/>
      <c r="P408" s="18"/>
    </row>
    <row r="409" spans="1:16" x14ac:dyDescent="0.25">
      <c r="A409" s="1">
        <v>14211</v>
      </c>
      <c r="B409" s="1">
        <v>56115</v>
      </c>
      <c r="C409" s="1" t="s">
        <v>86</v>
      </c>
      <c r="G409" s="5">
        <v>10000</v>
      </c>
      <c r="H409" s="5">
        <v>10000</v>
      </c>
      <c r="I409" s="5">
        <v>10000</v>
      </c>
      <c r="J409" s="5">
        <f>[1]Expense!N217</f>
        <v>13485.58</v>
      </c>
      <c r="K409" s="5">
        <f>[1]Expense!I217</f>
        <v>10000</v>
      </c>
      <c r="L409" s="5">
        <f>[2]Expense!K194</f>
        <v>6627.03</v>
      </c>
      <c r="M409" s="5">
        <v>6999</v>
      </c>
      <c r="N409" s="5">
        <v>4640.74</v>
      </c>
      <c r="O409" s="38">
        <f>(G409-K409)/K409</f>
        <v>0</v>
      </c>
      <c r="P409" s="18">
        <f>G409-K409</f>
        <v>0</v>
      </c>
    </row>
    <row r="410" spans="1:16" x14ac:dyDescent="0.25">
      <c r="C410" s="1" t="s">
        <v>450</v>
      </c>
      <c r="G410" s="19"/>
      <c r="O410" s="38"/>
      <c r="P410" s="18"/>
    </row>
    <row r="411" spans="1:16" x14ac:dyDescent="0.25">
      <c r="C411" s="1" t="s">
        <v>451</v>
      </c>
      <c r="G411" s="19"/>
      <c r="J411" s="5"/>
      <c r="O411" s="38"/>
      <c r="P411" s="18"/>
    </row>
    <row r="412" spans="1:16" x14ac:dyDescent="0.25">
      <c r="A412" s="1">
        <v>14211</v>
      </c>
      <c r="B412" s="1">
        <v>56120</v>
      </c>
      <c r="C412" s="1" t="s">
        <v>110</v>
      </c>
      <c r="G412" s="5">
        <v>500</v>
      </c>
      <c r="H412" s="5">
        <v>500</v>
      </c>
      <c r="I412" s="5">
        <v>500</v>
      </c>
      <c r="J412" s="5">
        <f>[1]Expense!N218</f>
        <v>462.54</v>
      </c>
      <c r="K412" s="5">
        <f>[1]Expense!I218</f>
        <v>500</v>
      </c>
      <c r="L412" s="5">
        <f>[2]Expense!K195</f>
        <v>345.09</v>
      </c>
      <c r="M412" s="5">
        <v>494.84</v>
      </c>
      <c r="N412" s="5">
        <v>318.14999999999998</v>
      </c>
      <c r="O412" s="38">
        <f>(G412-K412)/K412</f>
        <v>0</v>
      </c>
      <c r="P412" s="18">
        <f>G412-K412</f>
        <v>0</v>
      </c>
    </row>
    <row r="413" spans="1:16" x14ac:dyDescent="0.25">
      <c r="A413" s="1">
        <v>14211</v>
      </c>
      <c r="B413" s="1">
        <v>56125</v>
      </c>
      <c r="C413" s="1" t="s">
        <v>111</v>
      </c>
      <c r="G413" s="5">
        <v>6600</v>
      </c>
      <c r="H413" s="5">
        <v>6600</v>
      </c>
      <c r="I413" s="5">
        <v>6600</v>
      </c>
      <c r="J413" s="5">
        <f>[1]Expense!N219</f>
        <v>6742.98</v>
      </c>
      <c r="K413" s="5">
        <f>[1]Expense!I219</f>
        <v>6600</v>
      </c>
      <c r="L413" s="5">
        <f>[2]Expense!K196</f>
        <v>6525.06</v>
      </c>
      <c r="M413" s="5">
        <v>6552.32</v>
      </c>
      <c r="N413" s="5">
        <v>6892.99</v>
      </c>
      <c r="O413" s="38">
        <f>(G413-K413)/K413</f>
        <v>0</v>
      </c>
      <c r="P413" s="18">
        <f>G413-K413</f>
        <v>0</v>
      </c>
    </row>
    <row r="414" spans="1:16" ht="78.75" x14ac:dyDescent="0.25">
      <c r="C414" s="42" t="s">
        <v>452</v>
      </c>
      <c r="G414" s="19"/>
      <c r="J414" s="5"/>
      <c r="O414" s="38"/>
      <c r="P414" s="18"/>
    </row>
    <row r="415" spans="1:16" x14ac:dyDescent="0.25">
      <c r="A415" s="1">
        <v>14211</v>
      </c>
      <c r="B415" s="1">
        <v>56130</v>
      </c>
      <c r="C415" s="1" t="s">
        <v>231</v>
      </c>
      <c r="G415" s="5">
        <v>2000</v>
      </c>
      <c r="H415" s="5">
        <v>2000</v>
      </c>
      <c r="I415" s="5">
        <v>2000</v>
      </c>
      <c r="J415" s="5"/>
      <c r="O415" s="38" t="e">
        <f>(G415-K415)/K415</f>
        <v>#DIV/0!</v>
      </c>
      <c r="P415" s="18">
        <f>G415-K415</f>
        <v>2000</v>
      </c>
    </row>
    <row r="416" spans="1:16" x14ac:dyDescent="0.25">
      <c r="A416" s="1">
        <v>14211</v>
      </c>
      <c r="B416" s="1">
        <v>56132</v>
      </c>
      <c r="C416" s="1" t="s">
        <v>230</v>
      </c>
      <c r="G416" s="5">
        <v>6000</v>
      </c>
      <c r="H416" s="5">
        <v>6000</v>
      </c>
      <c r="I416" s="5">
        <v>6000</v>
      </c>
      <c r="J416" s="5">
        <f>[1]Expense!N220</f>
        <v>3453.56</v>
      </c>
      <c r="K416" s="5">
        <f>[1]Expense!I220</f>
        <v>6000</v>
      </c>
      <c r="L416" s="5">
        <f>[2]Expense!K197</f>
        <v>6227.22</v>
      </c>
      <c r="M416" s="5">
        <v>6387.04</v>
      </c>
      <c r="N416" s="5">
        <v>2104.6</v>
      </c>
      <c r="O416" s="38">
        <f>(G416-K416)/K416</f>
        <v>0</v>
      </c>
      <c r="P416" s="18">
        <f>G416-K416</f>
        <v>0</v>
      </c>
    </row>
    <row r="417" spans="1:16" x14ac:dyDescent="0.25">
      <c r="C417" s="1" t="s">
        <v>453</v>
      </c>
      <c r="G417" s="5"/>
      <c r="H417" s="5"/>
      <c r="J417" s="5"/>
      <c r="O417" s="38"/>
      <c r="P417" s="18"/>
    </row>
    <row r="418" spans="1:16" x14ac:dyDescent="0.25">
      <c r="A418" s="1">
        <v>14211</v>
      </c>
      <c r="B418" s="1">
        <v>56200</v>
      </c>
      <c r="C418" s="1" t="s">
        <v>40</v>
      </c>
      <c r="G418" s="5">
        <v>3185</v>
      </c>
      <c r="H418" s="5">
        <v>3185</v>
      </c>
      <c r="I418" s="5">
        <v>3185</v>
      </c>
      <c r="J418" s="5">
        <f>[1]Expense!N221</f>
        <v>3172.73</v>
      </c>
      <c r="K418" s="5">
        <f>[1]Expense!I221</f>
        <v>3185</v>
      </c>
      <c r="L418" s="5">
        <f>[2]Expense!K198</f>
        <v>2530.13</v>
      </c>
      <c r="M418" s="5">
        <v>2688.86</v>
      </c>
      <c r="N418" s="5">
        <v>3181.76</v>
      </c>
      <c r="O418" s="38">
        <f>(G418-K418)/K418</f>
        <v>0</v>
      </c>
      <c r="P418" s="18">
        <f>G418-K418</f>
        <v>0</v>
      </c>
    </row>
    <row r="419" spans="1:16" x14ac:dyDescent="0.25">
      <c r="A419" s="1">
        <v>14211</v>
      </c>
      <c r="B419" s="1">
        <v>56201</v>
      </c>
      <c r="C419" s="1" t="s">
        <v>112</v>
      </c>
      <c r="G419" s="5">
        <v>1000</v>
      </c>
      <c r="H419" s="5">
        <v>1000</v>
      </c>
      <c r="I419" s="5">
        <v>1000</v>
      </c>
      <c r="J419" s="1">
        <f>[1]Expense!N222</f>
        <v>952.52</v>
      </c>
      <c r="K419" s="5">
        <f>[1]Expense!I222</f>
        <v>1000</v>
      </c>
      <c r="L419" s="5">
        <f>[2]Expense!K199</f>
        <v>0</v>
      </c>
      <c r="O419" s="38">
        <f>(G419-K419)/K419</f>
        <v>0</v>
      </c>
      <c r="P419" s="18">
        <f>G419-K419</f>
        <v>0</v>
      </c>
    </row>
    <row r="420" spans="1:16" x14ac:dyDescent="0.25">
      <c r="A420" s="1">
        <v>14211</v>
      </c>
      <c r="B420" s="1">
        <v>56250</v>
      </c>
      <c r="C420" s="1" t="s">
        <v>41</v>
      </c>
      <c r="G420" s="5">
        <v>2500</v>
      </c>
      <c r="H420" s="5">
        <v>2500</v>
      </c>
      <c r="I420" s="5">
        <v>2500</v>
      </c>
      <c r="J420" s="1">
        <f>[1]Expense!N223</f>
        <v>3296.04</v>
      </c>
      <c r="K420" s="5">
        <f>[1]Expense!I223</f>
        <v>2200</v>
      </c>
      <c r="L420" s="5">
        <f>[2]Expense!K200</f>
        <v>2709.83</v>
      </c>
      <c r="M420" s="5">
        <v>1961.59</v>
      </c>
      <c r="N420" s="5">
        <v>2238.02</v>
      </c>
      <c r="O420" s="38">
        <f>(G420-K420)/K420</f>
        <v>0.13636363636363635</v>
      </c>
      <c r="P420" s="18">
        <f>G420-K420</f>
        <v>300</v>
      </c>
    </row>
    <row r="421" spans="1:16" x14ac:dyDescent="0.25">
      <c r="A421" s="1">
        <v>14211</v>
      </c>
      <c r="B421" s="1">
        <v>56350</v>
      </c>
      <c r="C421" s="1" t="s">
        <v>113</v>
      </c>
      <c r="G421" s="5">
        <v>25000</v>
      </c>
      <c r="H421" s="5">
        <v>25000</v>
      </c>
      <c r="I421" s="5">
        <v>25000</v>
      </c>
      <c r="J421" s="5">
        <f>[1]Expense!N224</f>
        <v>29873.81</v>
      </c>
      <c r="K421" s="5">
        <f>[1]Expense!I224</f>
        <v>25000</v>
      </c>
      <c r="L421" s="5">
        <f>[2]Expense!K201</f>
        <v>23454.31</v>
      </c>
      <c r="M421" s="5">
        <v>16945.810000000001</v>
      </c>
      <c r="N421" s="5">
        <v>10364.35</v>
      </c>
      <c r="O421" s="38">
        <f>(G421-K421)/K421</f>
        <v>0</v>
      </c>
      <c r="P421" s="18">
        <f>G421-K421</f>
        <v>0</v>
      </c>
    </row>
    <row r="422" spans="1:16" x14ac:dyDescent="0.25">
      <c r="A422" s="1">
        <v>14211</v>
      </c>
      <c r="B422" s="1">
        <v>56600</v>
      </c>
      <c r="C422" s="1" t="s">
        <v>87</v>
      </c>
      <c r="G422" s="5">
        <v>10000</v>
      </c>
      <c r="H422" s="5">
        <v>10000</v>
      </c>
      <c r="I422" s="5">
        <v>10000</v>
      </c>
      <c r="J422" s="5">
        <f>[1]Expense!N225</f>
        <v>12870.11</v>
      </c>
      <c r="K422" s="5">
        <f>[1]Expense!I225</f>
        <v>10000</v>
      </c>
      <c r="L422" s="5">
        <f>[2]Expense!K202</f>
        <v>13533.73</v>
      </c>
      <c r="M422" s="5">
        <v>12940.8</v>
      </c>
      <c r="N422" s="5">
        <v>12950.6</v>
      </c>
      <c r="O422" s="38">
        <f>(G422-K422)/K422</f>
        <v>0</v>
      </c>
      <c r="P422" s="18">
        <f>G422-K422</f>
        <v>0</v>
      </c>
    </row>
    <row r="423" spans="1:16" x14ac:dyDescent="0.25">
      <c r="C423" s="1" t="s">
        <v>454</v>
      </c>
      <c r="D423" s="1">
        <v>1</v>
      </c>
      <c r="E423" s="1">
        <v>10000</v>
      </c>
      <c r="F423" s="1">
        <v>10000</v>
      </c>
      <c r="G423" s="19"/>
      <c r="J423" s="5"/>
      <c r="O423" s="38"/>
      <c r="P423" s="18"/>
    </row>
    <row r="424" spans="1:16" x14ac:dyDescent="0.25">
      <c r="C424" s="1" t="s">
        <v>455</v>
      </c>
      <c r="G424" s="19"/>
      <c r="O424" s="38"/>
      <c r="P424" s="18"/>
    </row>
    <row r="425" spans="1:16" x14ac:dyDescent="0.25">
      <c r="C425" s="1" t="s">
        <v>456</v>
      </c>
      <c r="G425" s="19"/>
      <c r="J425" s="5"/>
      <c r="O425" s="38"/>
      <c r="P425" s="18"/>
    </row>
    <row r="426" spans="1:16" x14ac:dyDescent="0.25">
      <c r="A426" s="1">
        <v>14211</v>
      </c>
      <c r="B426" s="1">
        <v>56670</v>
      </c>
      <c r="C426" s="1" t="s">
        <v>42</v>
      </c>
      <c r="G426" s="5">
        <v>300</v>
      </c>
      <c r="H426" s="5">
        <v>300</v>
      </c>
      <c r="I426" s="5">
        <v>300</v>
      </c>
      <c r="J426" s="5">
        <f>[1]Expense!N226</f>
        <v>225</v>
      </c>
      <c r="K426" s="5">
        <f>[1]Expense!I226</f>
        <v>300</v>
      </c>
      <c r="L426" s="5">
        <f>[2]Expense!K203</f>
        <v>94.5</v>
      </c>
      <c r="M426" s="5">
        <v>0</v>
      </c>
      <c r="N426" s="5">
        <v>232.75</v>
      </c>
      <c r="O426" s="38">
        <f>(G426-K426)/K426</f>
        <v>0</v>
      </c>
      <c r="P426" s="18">
        <f>G426-K426</f>
        <v>0</v>
      </c>
    </row>
    <row r="427" spans="1:16" x14ac:dyDescent="0.25">
      <c r="C427" s="1" t="s">
        <v>457</v>
      </c>
      <c r="G427" s="19"/>
      <c r="J427" s="5"/>
      <c r="O427" s="38"/>
      <c r="P427" s="18"/>
    </row>
    <row r="428" spans="1:16" x14ac:dyDescent="0.25">
      <c r="A428" s="1">
        <v>14211</v>
      </c>
      <c r="B428" s="1">
        <v>56680</v>
      </c>
      <c r="C428" s="1" t="s">
        <v>43</v>
      </c>
      <c r="G428" s="65">
        <f>SUM(F429:F435)</f>
        <v>8001</v>
      </c>
      <c r="H428" s="19">
        <v>8501</v>
      </c>
      <c r="I428" s="5">
        <v>8501</v>
      </c>
      <c r="J428" s="5">
        <f>[1]Expense!N227</f>
        <v>9485.7800000000007</v>
      </c>
      <c r="K428" s="5">
        <f>[1]Expense!I227</f>
        <v>9600</v>
      </c>
      <c r="L428" s="5">
        <f>[2]Expense!K204</f>
        <v>14282.9</v>
      </c>
      <c r="M428" s="5">
        <v>16074.31</v>
      </c>
      <c r="N428" s="5">
        <v>6705.28</v>
      </c>
      <c r="O428" s="38">
        <f>(G428-K428)/K428</f>
        <v>-0.1665625</v>
      </c>
      <c r="P428" s="18">
        <f>G428-K428</f>
        <v>-1599</v>
      </c>
    </row>
    <row r="429" spans="1:16" x14ac:dyDescent="0.25">
      <c r="C429" s="1" t="s">
        <v>458</v>
      </c>
      <c r="F429" s="1">
        <v>2500</v>
      </c>
      <c r="H429" s="1"/>
      <c r="J429" s="5"/>
      <c r="O429" s="38"/>
      <c r="P429" s="18"/>
    </row>
    <row r="430" spans="1:16" x14ac:dyDescent="0.25">
      <c r="C430" s="1" t="s">
        <v>459</v>
      </c>
      <c r="D430" s="1">
        <v>4</v>
      </c>
      <c r="E430" s="1">
        <v>400</v>
      </c>
      <c r="F430" s="1">
        <v>1600</v>
      </c>
      <c r="H430" s="1"/>
      <c r="J430" s="5"/>
      <c r="O430" s="38"/>
      <c r="P430" s="18"/>
    </row>
    <row r="431" spans="1:16" x14ac:dyDescent="0.25">
      <c r="C431" s="1" t="s">
        <v>460</v>
      </c>
      <c r="H431" s="1"/>
      <c r="J431" s="5"/>
      <c r="O431" s="38"/>
      <c r="P431" s="18"/>
    </row>
    <row r="432" spans="1:16" x14ac:dyDescent="0.25">
      <c r="C432" s="1" t="s">
        <v>461</v>
      </c>
      <c r="H432" s="1"/>
      <c r="J432" s="5"/>
      <c r="O432" s="38"/>
      <c r="P432" s="18"/>
    </row>
    <row r="433" spans="1:16" x14ac:dyDescent="0.25">
      <c r="C433" s="1" t="s">
        <v>462</v>
      </c>
      <c r="D433" s="1">
        <v>3</v>
      </c>
      <c r="E433" s="1">
        <v>800</v>
      </c>
      <c r="F433" s="1">
        <v>2400</v>
      </c>
      <c r="H433" s="1"/>
      <c r="J433" s="5"/>
      <c r="O433" s="38"/>
      <c r="P433" s="18"/>
    </row>
    <row r="434" spans="1:16" x14ac:dyDescent="0.25">
      <c r="C434" s="1" t="s">
        <v>463</v>
      </c>
      <c r="D434" s="1">
        <v>2</v>
      </c>
      <c r="E434" s="1">
        <v>500</v>
      </c>
      <c r="F434" s="1">
        <v>1000</v>
      </c>
      <c r="H434" s="1"/>
      <c r="J434" s="5"/>
      <c r="O434" s="38"/>
      <c r="P434" s="18"/>
    </row>
    <row r="435" spans="1:16" x14ac:dyDescent="0.25">
      <c r="C435" s="1" t="s">
        <v>464</v>
      </c>
      <c r="D435" s="1">
        <v>1</v>
      </c>
      <c r="E435" s="1">
        <v>501</v>
      </c>
      <c r="F435" s="1">
        <v>501</v>
      </c>
      <c r="H435" s="1"/>
      <c r="J435" s="5"/>
      <c r="O435" s="38"/>
      <c r="P435" s="18"/>
    </row>
    <row r="436" spans="1:16" x14ac:dyDescent="0.25">
      <c r="A436" s="1">
        <v>14211</v>
      </c>
      <c r="B436" s="1">
        <v>56682</v>
      </c>
      <c r="C436" s="1" t="s">
        <v>233</v>
      </c>
      <c r="G436" s="5">
        <v>15100</v>
      </c>
      <c r="H436" s="5">
        <v>15100</v>
      </c>
      <c r="I436" s="5">
        <v>15100</v>
      </c>
      <c r="O436" s="38" t="e">
        <f>(G436-K436)/K436</f>
        <v>#DIV/0!</v>
      </c>
      <c r="P436" s="18">
        <f>G436-K436</f>
        <v>15100</v>
      </c>
    </row>
    <row r="437" spans="1:16" x14ac:dyDescent="0.25">
      <c r="C437" s="1" t="s">
        <v>417</v>
      </c>
      <c r="D437" s="1">
        <v>1</v>
      </c>
      <c r="E437" s="1">
        <v>15100</v>
      </c>
      <c r="F437" s="1">
        <v>15100</v>
      </c>
      <c r="G437" s="19"/>
      <c r="J437" s="5"/>
      <c r="O437" s="38"/>
      <c r="P437" s="18"/>
    </row>
    <row r="438" spans="1:16" x14ac:dyDescent="0.25">
      <c r="C438" s="1" t="s">
        <v>418</v>
      </c>
      <c r="G438" s="19"/>
      <c r="J438" s="5"/>
      <c r="O438" s="38"/>
      <c r="P438" s="18"/>
    </row>
    <row r="439" spans="1:16" x14ac:dyDescent="0.25">
      <c r="C439" s="1" t="s">
        <v>419</v>
      </c>
      <c r="G439" s="19"/>
      <c r="J439" s="5"/>
      <c r="O439" s="38"/>
      <c r="P439" s="18"/>
    </row>
    <row r="440" spans="1:16" x14ac:dyDescent="0.25">
      <c r="A440" s="1">
        <v>14211</v>
      </c>
      <c r="B440" s="1">
        <v>57600</v>
      </c>
      <c r="C440" s="1" t="s">
        <v>114</v>
      </c>
      <c r="G440" s="5">
        <v>80028</v>
      </c>
      <c r="H440" s="5">
        <v>80028</v>
      </c>
      <c r="I440" s="5">
        <v>80028</v>
      </c>
      <c r="J440" s="5">
        <f>[1]Expense!$J$228</f>
        <v>54694.51</v>
      </c>
      <c r="K440" s="5">
        <v>54702</v>
      </c>
      <c r="L440" s="5">
        <f>[2]Expense!K205</f>
        <v>62956.480000000003</v>
      </c>
      <c r="M440" s="5">
        <v>69432.89</v>
      </c>
      <c r="N440" s="5">
        <v>46952.2</v>
      </c>
      <c r="O440" s="38">
        <f>(G440-K440)/K440</f>
        <v>0.46298124383020728</v>
      </c>
      <c r="P440" s="18">
        <f>G440-K440</f>
        <v>25326</v>
      </c>
    </row>
    <row r="441" spans="1:16" x14ac:dyDescent="0.25">
      <c r="C441" s="1" t="s">
        <v>465</v>
      </c>
      <c r="D441" s="1">
        <v>1</v>
      </c>
      <c r="E441" s="1">
        <v>19296</v>
      </c>
      <c r="F441" s="1">
        <v>19296</v>
      </c>
      <c r="G441" s="19"/>
      <c r="J441" s="5"/>
      <c r="O441" s="38"/>
      <c r="P441" s="18"/>
    </row>
    <row r="442" spans="1:16" x14ac:dyDescent="0.25">
      <c r="C442" s="1" t="s">
        <v>466</v>
      </c>
      <c r="D442" s="1">
        <v>1</v>
      </c>
      <c r="E442" s="1">
        <v>16732</v>
      </c>
      <c r="F442" s="1">
        <v>16732</v>
      </c>
      <c r="G442" s="19"/>
      <c r="J442" s="5"/>
      <c r="O442" s="38"/>
      <c r="P442" s="18"/>
    </row>
    <row r="443" spans="1:16" x14ac:dyDescent="0.25">
      <c r="C443" s="1" t="s">
        <v>467</v>
      </c>
      <c r="D443" s="1">
        <v>2</v>
      </c>
      <c r="E443" s="1">
        <v>22000</v>
      </c>
      <c r="F443" s="1">
        <v>44000</v>
      </c>
      <c r="G443" s="19"/>
      <c r="J443" s="5"/>
      <c r="O443" s="38"/>
      <c r="P443" s="18"/>
    </row>
    <row r="444" spans="1:16" x14ac:dyDescent="0.25">
      <c r="C444" s="1" t="s">
        <v>468</v>
      </c>
      <c r="G444" s="19"/>
      <c r="J444" s="5"/>
      <c r="O444" s="38"/>
      <c r="P444" s="18"/>
    </row>
    <row r="445" spans="1:16" x14ac:dyDescent="0.25">
      <c r="C445" s="1" t="s">
        <v>469</v>
      </c>
      <c r="G445" s="19"/>
      <c r="J445" s="5"/>
      <c r="O445" s="38"/>
      <c r="P445" s="18"/>
    </row>
    <row r="446" spans="1:16" s="8" customFormat="1" x14ac:dyDescent="0.25">
      <c r="A446" s="8" t="s">
        <v>12</v>
      </c>
      <c r="B446" s="8" t="s">
        <v>115</v>
      </c>
      <c r="G446" s="21">
        <f>SUM(G320:G440)</f>
        <v>3101652</v>
      </c>
      <c r="H446" s="21">
        <f>SUM(H320:H440)</f>
        <v>3113243</v>
      </c>
      <c r="I446" s="9">
        <f t="shared" ref="I446:N446" si="38">SUM(I320:I440)</f>
        <v>3130743</v>
      </c>
      <c r="J446" s="9">
        <f>SUM(J320:J445)</f>
        <v>2649427.2200000002</v>
      </c>
      <c r="K446" s="9">
        <f>SUM(K320:K445)</f>
        <v>2926624.6</v>
      </c>
      <c r="L446" s="9">
        <f t="shared" si="38"/>
        <v>2351306.9500000002</v>
      </c>
      <c r="M446" s="9">
        <f t="shared" si="38"/>
        <v>2201334.8700000006</v>
      </c>
      <c r="N446" s="9">
        <f t="shared" si="38"/>
        <v>2165731.0500000003</v>
      </c>
      <c r="O446" s="39">
        <f>(G446-K446)/K446</f>
        <v>5.980521041202206E-2</v>
      </c>
      <c r="P446" s="40">
        <f>G446-K446</f>
        <v>175027.39999999991</v>
      </c>
    </row>
    <row r="447" spans="1:16" x14ac:dyDescent="0.25">
      <c r="G447" s="19"/>
      <c r="J447" s="5"/>
      <c r="L447" s="9"/>
      <c r="O447" s="38"/>
      <c r="P447" s="18"/>
    </row>
    <row r="448" spans="1:16" s="8" customFormat="1" x14ac:dyDescent="0.25">
      <c r="A448" s="8">
        <v>14230</v>
      </c>
      <c r="B448" s="8" t="s">
        <v>116</v>
      </c>
      <c r="G448" s="21"/>
      <c r="H448" s="21"/>
      <c r="I448" s="9"/>
      <c r="J448" s="5"/>
      <c r="K448" s="5"/>
      <c r="L448" s="5"/>
      <c r="M448" s="9"/>
      <c r="N448" s="9"/>
      <c r="O448" s="38"/>
      <c r="P448" s="18"/>
    </row>
    <row r="449" spans="1:17" x14ac:dyDescent="0.25">
      <c r="A449" s="1">
        <v>14230</v>
      </c>
      <c r="B449" s="1">
        <v>51100</v>
      </c>
      <c r="C449" s="1" t="s">
        <v>15</v>
      </c>
      <c r="G449" s="63">
        <f>2630623+54515</f>
        <v>2685138</v>
      </c>
      <c r="H449" s="19">
        <v>2630623</v>
      </c>
      <c r="I449" s="5">
        <v>2722100</v>
      </c>
      <c r="J449" s="5">
        <f>[1]Expense!N232</f>
        <v>2344531.35</v>
      </c>
      <c r="K449" s="5">
        <f>[1]Expense!I232</f>
        <v>2462600</v>
      </c>
      <c r="L449" s="5">
        <f>[2]Expense!K209</f>
        <v>1796012.59</v>
      </c>
      <c r="M449" s="5">
        <v>1824470.43</v>
      </c>
      <c r="N449" s="5">
        <v>1988701.03</v>
      </c>
      <c r="O449" s="38">
        <f t="shared" ref="O449:O461" si="39">(G449-K449)/K449</f>
        <v>9.0367091691707951E-2</v>
      </c>
      <c r="P449" s="18">
        <f t="shared" ref="P449:P461" si="40">G449-K449</f>
        <v>222538</v>
      </c>
    </row>
    <row r="450" spans="1:17" x14ac:dyDescent="0.25">
      <c r="A450" s="1">
        <v>14230</v>
      </c>
      <c r="B450" s="1">
        <v>51200</v>
      </c>
      <c r="C450" s="1" t="s">
        <v>16</v>
      </c>
      <c r="G450" s="19">
        <v>209500</v>
      </c>
      <c r="H450" s="19">
        <v>209500</v>
      </c>
      <c r="I450" s="5">
        <v>209500</v>
      </c>
      <c r="J450" s="5">
        <f>[1]Expense!N233</f>
        <v>180928.18</v>
      </c>
      <c r="K450" s="5">
        <f>[1]Expense!I233</f>
        <v>201100</v>
      </c>
      <c r="L450" s="5">
        <f>[2]Expense!K210</f>
        <v>180953.60000000001</v>
      </c>
      <c r="M450" s="5">
        <v>218979.8</v>
      </c>
      <c r="N450" s="5">
        <v>224675.6</v>
      </c>
      <c r="O450" s="38">
        <f t="shared" si="39"/>
        <v>4.1770263550472399E-2</v>
      </c>
      <c r="P450" s="18">
        <f t="shared" si="40"/>
        <v>8400</v>
      </c>
    </row>
    <row r="451" spans="1:17" x14ac:dyDescent="0.25">
      <c r="A451" s="1">
        <v>14230</v>
      </c>
      <c r="B451" s="1">
        <v>51400</v>
      </c>
      <c r="C451" s="1" t="s">
        <v>18</v>
      </c>
      <c r="G451" s="54">
        <v>90000</v>
      </c>
      <c r="H451" s="19">
        <v>92500</v>
      </c>
      <c r="I451" s="19">
        <v>92500</v>
      </c>
      <c r="J451" s="5">
        <f>[1]Expense!N234</f>
        <v>87294.9</v>
      </c>
      <c r="K451" s="5">
        <f>[1]Expense!I234</f>
        <v>90000</v>
      </c>
      <c r="L451" s="5">
        <f>[2]Expense!K211</f>
        <v>102928.66</v>
      </c>
      <c r="M451" s="5">
        <v>82952.53</v>
      </c>
      <c r="N451" s="5">
        <v>62959.54</v>
      </c>
      <c r="O451" s="38">
        <f t="shared" si="39"/>
        <v>0</v>
      </c>
      <c r="P451" s="18">
        <f t="shared" si="40"/>
        <v>0</v>
      </c>
    </row>
    <row r="452" spans="1:17" x14ac:dyDescent="0.25">
      <c r="A452" s="1">
        <v>14230</v>
      </c>
      <c r="B452" s="1">
        <v>51500</v>
      </c>
      <c r="C452" s="1" t="s">
        <v>61</v>
      </c>
      <c r="G452" s="63">
        <v>73000</v>
      </c>
      <c r="H452" s="19">
        <v>98500</v>
      </c>
      <c r="I452" s="5">
        <v>98500</v>
      </c>
      <c r="J452" s="5">
        <f>[1]Expense!N235</f>
        <v>77764.929999999993</v>
      </c>
      <c r="K452" s="5">
        <f>[1]Expense!I235</f>
        <v>36600</v>
      </c>
      <c r="L452" s="5">
        <f>[2]Expense!K212</f>
        <v>28791.13</v>
      </c>
      <c r="M452" s="5">
        <v>5192.83</v>
      </c>
      <c r="N452" s="5">
        <v>5875.8</v>
      </c>
      <c r="O452" s="38">
        <f t="shared" si="39"/>
        <v>0.99453551912568305</v>
      </c>
      <c r="P452" s="18">
        <f t="shared" si="40"/>
        <v>36400</v>
      </c>
    </row>
    <row r="453" spans="1:17" x14ac:dyDescent="0.25">
      <c r="A453" s="1">
        <v>14230</v>
      </c>
      <c r="B453" s="1">
        <v>51510</v>
      </c>
      <c r="C453" s="1" t="s">
        <v>20</v>
      </c>
      <c r="G453" s="63">
        <v>4207</v>
      </c>
      <c r="J453" s="5">
        <f>[1]Expense!N236</f>
        <v>665.04</v>
      </c>
      <c r="K453" s="5">
        <f>[1]Expense!I236</f>
        <v>667</v>
      </c>
      <c r="L453" s="5">
        <f>[2]Expense!K213</f>
        <v>1059.93</v>
      </c>
      <c r="M453" s="5">
        <v>8280.77</v>
      </c>
      <c r="N453" s="5">
        <v>6749.96</v>
      </c>
      <c r="O453" s="38">
        <f t="shared" si="39"/>
        <v>5.3073463268365817</v>
      </c>
      <c r="P453" s="18">
        <f t="shared" si="40"/>
        <v>3540</v>
      </c>
    </row>
    <row r="454" spans="1:17" x14ac:dyDescent="0.25">
      <c r="A454" s="1">
        <v>14230</v>
      </c>
      <c r="B454" s="1">
        <v>51520</v>
      </c>
      <c r="C454" s="1" t="s">
        <v>21</v>
      </c>
      <c r="G454" s="19">
        <v>7750</v>
      </c>
      <c r="H454" s="19">
        <v>7750</v>
      </c>
      <c r="I454" s="5">
        <v>7750</v>
      </c>
      <c r="J454" s="5">
        <f>[1]Expense!N237</f>
        <v>6000</v>
      </c>
      <c r="K454" s="5">
        <f>[1]Expense!I237</f>
        <v>5550</v>
      </c>
      <c r="L454" s="5">
        <f>[2]Expense!K214</f>
        <v>5010</v>
      </c>
      <c r="M454" s="5">
        <v>4730</v>
      </c>
      <c r="N454" s="5">
        <v>5130</v>
      </c>
      <c r="O454" s="38">
        <f>(G454-K454)/K454</f>
        <v>0.3963963963963964</v>
      </c>
      <c r="P454" s="18">
        <f t="shared" si="40"/>
        <v>2200</v>
      </c>
    </row>
    <row r="455" spans="1:17" x14ac:dyDescent="0.25">
      <c r="A455" s="1">
        <v>14230</v>
      </c>
      <c r="B455" s="1">
        <v>52100</v>
      </c>
      <c r="C455" s="1" t="s">
        <v>22</v>
      </c>
      <c r="G455" s="63">
        <v>669000</v>
      </c>
      <c r="H455" s="19">
        <v>690000</v>
      </c>
      <c r="I455" s="5">
        <v>773200</v>
      </c>
      <c r="J455" s="5">
        <f>[1]Expense!N238</f>
        <v>592699.47</v>
      </c>
      <c r="K455" s="5">
        <f>[1]Expense!I238</f>
        <v>647100</v>
      </c>
      <c r="L455" s="5">
        <f>[2]Expense!K215</f>
        <v>565752.18000000005</v>
      </c>
      <c r="M455" s="5">
        <v>505690.18</v>
      </c>
      <c r="N455" s="5">
        <v>522868.61</v>
      </c>
      <c r="O455" s="38">
        <f t="shared" si="39"/>
        <v>3.3843300880853036E-2</v>
      </c>
      <c r="P455" s="18">
        <f t="shared" si="40"/>
        <v>21900</v>
      </c>
    </row>
    <row r="456" spans="1:17" x14ac:dyDescent="0.25">
      <c r="A456" s="1">
        <v>14230</v>
      </c>
      <c r="B456" s="1">
        <v>52140</v>
      </c>
      <c r="C456" s="1" t="s">
        <v>23</v>
      </c>
      <c r="G456" s="63">
        <v>8760</v>
      </c>
      <c r="H456" s="19">
        <v>15186</v>
      </c>
      <c r="I456" s="5">
        <v>15186</v>
      </c>
      <c r="J456" s="5">
        <f>[1]Expense!N239</f>
        <v>3029</v>
      </c>
      <c r="K456" s="5">
        <f>[1]Expense!I239</f>
        <v>3825</v>
      </c>
      <c r="O456" s="38">
        <f t="shared" si="39"/>
        <v>1.2901960784313726</v>
      </c>
      <c r="P456" s="18">
        <f t="shared" si="40"/>
        <v>4935</v>
      </c>
    </row>
    <row r="457" spans="1:17" x14ac:dyDescent="0.25">
      <c r="A457" s="1">
        <v>14230</v>
      </c>
      <c r="B457" s="1">
        <v>52200</v>
      </c>
      <c r="C457" s="1" t="s">
        <v>24</v>
      </c>
      <c r="G457" s="19">
        <v>65000</v>
      </c>
      <c r="H457" s="19">
        <v>65000</v>
      </c>
      <c r="I457" s="5">
        <v>65000</v>
      </c>
      <c r="J457" s="5">
        <f>[1]Expense!N240</f>
        <v>52954.01</v>
      </c>
      <c r="K457" s="5">
        <f>[1]Expense!I240</f>
        <v>60750</v>
      </c>
      <c r="L457" s="5">
        <f>[2]Expense!K216</f>
        <v>45785.94</v>
      </c>
      <c r="M457" s="5">
        <v>51856.77</v>
      </c>
      <c r="N457" s="5">
        <v>61459.11</v>
      </c>
      <c r="O457" s="38">
        <f>(G457-K457)/K457</f>
        <v>6.9958847736625515E-2</v>
      </c>
      <c r="P457" s="18">
        <f t="shared" si="40"/>
        <v>4250</v>
      </c>
    </row>
    <row r="458" spans="1:17" x14ac:dyDescent="0.25">
      <c r="A458" s="1">
        <v>14230</v>
      </c>
      <c r="B458" s="1">
        <v>52230</v>
      </c>
      <c r="C458" s="1" t="s">
        <v>25</v>
      </c>
      <c r="G458" s="19">
        <v>860600</v>
      </c>
      <c r="H458" s="19">
        <v>860600</v>
      </c>
      <c r="I458" s="5">
        <v>860600</v>
      </c>
      <c r="J458" s="5">
        <f>[1]Expense!N241</f>
        <v>785226.23999999999</v>
      </c>
      <c r="K458" s="5">
        <f>[1]Expense!I241</f>
        <v>828350</v>
      </c>
      <c r="L458" s="5">
        <f>[2]Expense!K217</f>
        <v>621119.25</v>
      </c>
      <c r="M458" s="5">
        <v>562956.56000000006</v>
      </c>
      <c r="N458" s="5">
        <v>543323.05000000005</v>
      </c>
      <c r="O458" s="38">
        <f t="shared" si="39"/>
        <v>3.893281825315386E-2</v>
      </c>
      <c r="P458" s="18">
        <f t="shared" si="40"/>
        <v>32250</v>
      </c>
    </row>
    <row r="459" spans="1:17" x14ac:dyDescent="0.25">
      <c r="A459" s="1">
        <v>14230</v>
      </c>
      <c r="B459" s="1">
        <v>52250</v>
      </c>
      <c r="C459" s="1" t="s">
        <v>26</v>
      </c>
      <c r="G459" s="19">
        <v>1592</v>
      </c>
      <c r="H459" s="19">
        <v>1592</v>
      </c>
      <c r="I459" s="19">
        <v>1592</v>
      </c>
      <c r="J459" s="5">
        <f>[1]Expense!N242</f>
        <v>1557.59</v>
      </c>
      <c r="K459" s="5">
        <f>[1]Expense!I242</f>
        <v>1558</v>
      </c>
      <c r="L459" s="5">
        <f>[2]Expense!K218</f>
        <v>1609.83</v>
      </c>
      <c r="M459" s="5">
        <v>1431.79</v>
      </c>
      <c r="N459" s="5">
        <v>1431.79</v>
      </c>
      <c r="O459" s="38">
        <f t="shared" si="39"/>
        <v>2.1822849807445442E-2</v>
      </c>
      <c r="P459" s="18">
        <f t="shared" si="40"/>
        <v>34</v>
      </c>
    </row>
    <row r="460" spans="1:17" x14ac:dyDescent="0.25">
      <c r="A460" s="1">
        <v>14230</v>
      </c>
      <c r="B460" s="1">
        <v>52260</v>
      </c>
      <c r="C460" s="1" t="s">
        <v>27</v>
      </c>
      <c r="G460" s="19">
        <v>45682</v>
      </c>
      <c r="H460" s="19">
        <v>45682</v>
      </c>
      <c r="I460" s="19">
        <v>45682</v>
      </c>
      <c r="J460" s="5">
        <f>[1]Expense!N243</f>
        <v>53862.55</v>
      </c>
      <c r="K460" s="5">
        <f>[1]Expense!I243</f>
        <v>53863</v>
      </c>
      <c r="L460" s="5">
        <f>[2]Expense!K219</f>
        <v>56606</v>
      </c>
      <c r="M460" s="5">
        <v>47710</v>
      </c>
      <c r="N460" s="5">
        <v>55594</v>
      </c>
      <c r="O460" s="38">
        <f t="shared" si="39"/>
        <v>-0.15188533872974028</v>
      </c>
      <c r="P460" s="18">
        <f t="shared" si="40"/>
        <v>-8181</v>
      </c>
      <c r="Q460" s="18">
        <f>SUM(P449:P460)</f>
        <v>328266</v>
      </c>
    </row>
    <row r="461" spans="1:17" x14ac:dyDescent="0.25">
      <c r="A461" s="1">
        <v>14230</v>
      </c>
      <c r="B461" s="1">
        <v>52280</v>
      </c>
      <c r="C461" s="1" t="s">
        <v>48</v>
      </c>
      <c r="G461" s="19">
        <v>1000</v>
      </c>
      <c r="H461" s="19">
        <v>1000</v>
      </c>
      <c r="I461" s="5">
        <v>1000</v>
      </c>
      <c r="J461" s="5">
        <f>[1]Expense!N244</f>
        <v>892.77</v>
      </c>
      <c r="K461" s="5">
        <f>[1]Expense!I244</f>
        <v>1000</v>
      </c>
      <c r="L461" s="5">
        <f>[2]Expense!K220</f>
        <v>385.24</v>
      </c>
      <c r="O461" s="38">
        <f t="shared" si="39"/>
        <v>0</v>
      </c>
      <c r="P461" s="18">
        <f t="shared" si="40"/>
        <v>0</v>
      </c>
    </row>
    <row r="462" spans="1:17" x14ac:dyDescent="0.25">
      <c r="C462" s="1" t="s">
        <v>470</v>
      </c>
      <c r="D462" s="1">
        <v>1</v>
      </c>
      <c r="E462" s="1">
        <v>1000</v>
      </c>
      <c r="F462" s="1">
        <v>1000</v>
      </c>
      <c r="G462" s="19"/>
      <c r="J462" s="5"/>
      <c r="O462" s="38"/>
      <c r="P462" s="18"/>
    </row>
    <row r="463" spans="1:17" x14ac:dyDescent="0.25">
      <c r="C463" s="1" t="s">
        <v>471</v>
      </c>
      <c r="G463" s="19"/>
      <c r="J463" s="5"/>
      <c r="O463" s="38"/>
      <c r="P463" s="18"/>
    </row>
    <row r="464" spans="1:17" x14ac:dyDescent="0.25">
      <c r="A464" s="1">
        <v>14230</v>
      </c>
      <c r="B464" s="1">
        <v>53000</v>
      </c>
      <c r="C464" s="1" t="s">
        <v>117</v>
      </c>
      <c r="G464" s="54">
        <v>64350</v>
      </c>
      <c r="H464" s="19">
        <f>45375+64350</f>
        <v>109725</v>
      </c>
      <c r="I464" s="5">
        <v>64350</v>
      </c>
      <c r="J464" s="5">
        <f>[1]Expense!N245</f>
        <v>64350</v>
      </c>
      <c r="K464" s="5">
        <f>[1]Expense!I245</f>
        <v>64350</v>
      </c>
      <c r="L464" s="5">
        <f>[2]Expense!K221</f>
        <v>107250</v>
      </c>
      <c r="M464" s="5">
        <v>165446.78</v>
      </c>
      <c r="N464" s="5">
        <v>189920.05</v>
      </c>
      <c r="O464" s="38">
        <f>(G464-K464)/K464</f>
        <v>0</v>
      </c>
      <c r="P464" s="18">
        <f>G464-K464</f>
        <v>0</v>
      </c>
    </row>
    <row r="465" spans="1:16" x14ac:dyDescent="0.25">
      <c r="C465" s="1" t="s">
        <v>678</v>
      </c>
      <c r="F465" s="18"/>
      <c r="G465" s="5"/>
      <c r="H465" s="5"/>
      <c r="J465" s="5"/>
      <c r="O465" s="38"/>
      <c r="P465" s="18"/>
    </row>
    <row r="466" spans="1:16" x14ac:dyDescent="0.25">
      <c r="C466" s="1" t="s">
        <v>472</v>
      </c>
      <c r="G466" s="5"/>
      <c r="H466" s="5"/>
      <c r="J466" s="5"/>
      <c r="O466" s="38"/>
      <c r="P466" s="18"/>
    </row>
    <row r="467" spans="1:16" x14ac:dyDescent="0.25">
      <c r="A467" s="1">
        <v>14230</v>
      </c>
      <c r="B467" s="1">
        <v>53001</v>
      </c>
      <c r="C467" s="1" t="s">
        <v>118</v>
      </c>
      <c r="G467" s="5">
        <v>0</v>
      </c>
      <c r="H467" s="5">
        <v>0</v>
      </c>
      <c r="I467" s="5">
        <v>1000</v>
      </c>
      <c r="J467" s="5">
        <f>[1]Expense!N246</f>
        <v>0</v>
      </c>
      <c r="K467" s="5">
        <f>[1]Expense!I246</f>
        <v>1000</v>
      </c>
      <c r="L467" s="5">
        <f>[2]Expense!K222</f>
        <v>0</v>
      </c>
      <c r="M467" s="5">
        <v>14200</v>
      </c>
      <c r="N467" s="5">
        <v>51315</v>
      </c>
      <c r="O467" s="38">
        <f>(G467-K467)/K467</f>
        <v>-1</v>
      </c>
      <c r="P467" s="18">
        <f>G467-K467</f>
        <v>-1000</v>
      </c>
    </row>
    <row r="468" spans="1:16" x14ac:dyDescent="0.25">
      <c r="C468" s="1" t="s">
        <v>473</v>
      </c>
      <c r="G468" s="5"/>
      <c r="H468" s="5"/>
      <c r="J468" s="5"/>
      <c r="O468" s="38"/>
      <c r="P468" s="18"/>
    </row>
    <row r="469" spans="1:16" x14ac:dyDescent="0.25">
      <c r="C469" s="1" t="s">
        <v>474</v>
      </c>
      <c r="G469" s="5"/>
      <c r="H469" s="5"/>
      <c r="J469" s="5"/>
      <c r="O469" s="38"/>
      <c r="P469" s="18"/>
    </row>
    <row r="470" spans="1:16" x14ac:dyDescent="0.25">
      <c r="C470" s="1" t="s">
        <v>475</v>
      </c>
      <c r="G470" s="5"/>
      <c r="H470" s="5"/>
      <c r="J470" s="5"/>
      <c r="O470" s="38"/>
      <c r="P470" s="18"/>
    </row>
    <row r="471" spans="1:16" x14ac:dyDescent="0.25">
      <c r="A471" s="1">
        <v>14230</v>
      </c>
      <c r="B471" s="1">
        <v>53005</v>
      </c>
      <c r="C471" s="1" t="s">
        <v>119</v>
      </c>
      <c r="G471" s="5">
        <v>3900</v>
      </c>
      <c r="H471" s="5">
        <v>3900</v>
      </c>
      <c r="I471" s="5">
        <v>3900</v>
      </c>
      <c r="J471" s="5">
        <f>[1]Expense!N247</f>
        <v>3900</v>
      </c>
      <c r="K471" s="5">
        <f>[1]Expense!I247</f>
        <v>3900</v>
      </c>
      <c r="L471" s="5">
        <f>[2]Expense!K223</f>
        <v>3900</v>
      </c>
      <c r="M471" s="5">
        <v>3900</v>
      </c>
      <c r="N471" s="5">
        <v>1950</v>
      </c>
      <c r="O471" s="38">
        <f>(G471-K471)/K471</f>
        <v>0</v>
      </c>
      <c r="P471" s="18">
        <f>G471-K471</f>
        <v>0</v>
      </c>
    </row>
    <row r="472" spans="1:16" x14ac:dyDescent="0.25">
      <c r="C472" s="1" t="s">
        <v>476</v>
      </c>
      <c r="D472" s="1">
        <v>12</v>
      </c>
      <c r="E472" s="1">
        <v>325</v>
      </c>
      <c r="F472" s="1">
        <v>3900</v>
      </c>
      <c r="G472" s="5"/>
      <c r="H472" s="5"/>
      <c r="J472" s="5"/>
      <c r="O472" s="38"/>
      <c r="P472" s="18"/>
    </row>
    <row r="473" spans="1:16" x14ac:dyDescent="0.25">
      <c r="A473" s="1">
        <v>14230</v>
      </c>
      <c r="B473" s="1">
        <v>53006</v>
      </c>
      <c r="C473" s="1" t="s">
        <v>120</v>
      </c>
      <c r="G473" s="54">
        <v>1800</v>
      </c>
      <c r="H473" s="5">
        <v>2000</v>
      </c>
      <c r="I473" s="5">
        <v>2500</v>
      </c>
      <c r="J473" s="5">
        <f>[1]Expense!N248</f>
        <v>1758</v>
      </c>
      <c r="K473" s="5">
        <f>[1]Expense!I248</f>
        <v>2745</v>
      </c>
      <c r="L473" s="5">
        <f>[2]Expense!K224</f>
        <v>1362</v>
      </c>
      <c r="O473" s="38">
        <f>(G473-K473)/K473</f>
        <v>-0.34426229508196721</v>
      </c>
      <c r="P473" s="18">
        <f>G473-K473</f>
        <v>-945</v>
      </c>
    </row>
    <row r="474" spans="1:16" x14ac:dyDescent="0.25">
      <c r="A474" s="1">
        <v>14230</v>
      </c>
      <c r="B474" s="1">
        <v>53301</v>
      </c>
      <c r="C474" s="1" t="s">
        <v>121</v>
      </c>
      <c r="G474" s="5"/>
      <c r="H474" s="5"/>
      <c r="J474" s="5"/>
      <c r="M474" s="5">
        <v>10171.36</v>
      </c>
      <c r="N474" s="5">
        <v>21670.25</v>
      </c>
      <c r="O474" s="38"/>
      <c r="P474" s="18"/>
    </row>
    <row r="475" spans="1:16" x14ac:dyDescent="0.25">
      <c r="A475" s="1">
        <v>14230</v>
      </c>
      <c r="B475" s="1">
        <v>53410</v>
      </c>
      <c r="C475" s="1" t="s">
        <v>29</v>
      </c>
      <c r="G475" s="5">
        <f>SUM(F476:F478)</f>
        <v>3655</v>
      </c>
      <c r="H475" s="5">
        <f>SUM(F476:F478)</f>
        <v>3655</v>
      </c>
      <c r="I475" s="5">
        <f>SUM(F476:F478)</f>
        <v>3655</v>
      </c>
      <c r="J475" s="5">
        <f>[1]Expense!N249</f>
        <v>3355.6</v>
      </c>
      <c r="K475" s="5">
        <f>[1]Expense!I249</f>
        <v>3284</v>
      </c>
      <c r="L475" s="5">
        <f>[2]Expense!K225</f>
        <v>3251.74</v>
      </c>
      <c r="M475" s="5">
        <v>3473.04</v>
      </c>
      <c r="N475" s="5">
        <v>3527.09</v>
      </c>
      <c r="O475" s="38">
        <f>(G475-K475)/K475</f>
        <v>0.11297198538367845</v>
      </c>
      <c r="P475" s="18">
        <f>G475-K475</f>
        <v>371</v>
      </c>
    </row>
    <row r="476" spans="1:16" x14ac:dyDescent="0.25">
      <c r="C476" s="1" t="s">
        <v>477</v>
      </c>
      <c r="D476" s="1">
        <v>1</v>
      </c>
      <c r="E476" s="1">
        <v>1867</v>
      </c>
      <c r="F476" s="1">
        <f>D476*E476</f>
        <v>1867</v>
      </c>
      <c r="G476" s="19"/>
      <c r="J476" s="5"/>
      <c r="O476" s="38"/>
      <c r="P476" s="18"/>
    </row>
    <row r="477" spans="1:16" x14ac:dyDescent="0.25">
      <c r="C477" s="1" t="s">
        <v>686</v>
      </c>
      <c r="D477" s="1">
        <v>12</v>
      </c>
      <c r="E477" s="1">
        <v>84</v>
      </c>
      <c r="F477" s="1">
        <f>D477*E477</f>
        <v>1008</v>
      </c>
      <c r="G477" s="19"/>
      <c r="O477" s="38"/>
      <c r="P477" s="18"/>
    </row>
    <row r="478" spans="1:16" x14ac:dyDescent="0.25">
      <c r="C478" s="1" t="s">
        <v>687</v>
      </c>
      <c r="D478" s="1">
        <v>52</v>
      </c>
      <c r="E478" s="1">
        <v>15</v>
      </c>
      <c r="F478" s="1">
        <f t="shared" ref="F478" si="41">D478*E478</f>
        <v>780</v>
      </c>
      <c r="G478" s="19"/>
      <c r="O478" s="38"/>
      <c r="P478" s="18"/>
    </row>
    <row r="479" spans="1:16" x14ac:dyDescent="0.25">
      <c r="A479" s="1">
        <v>14230</v>
      </c>
      <c r="B479" s="1">
        <v>53412</v>
      </c>
      <c r="C479" s="1" t="s">
        <v>122</v>
      </c>
      <c r="G479" s="5">
        <v>1350</v>
      </c>
      <c r="H479" s="5">
        <v>1350</v>
      </c>
      <c r="I479" s="5">
        <v>1350</v>
      </c>
      <c r="J479" s="5">
        <f>[1]Expense!N250</f>
        <v>2750.99</v>
      </c>
      <c r="K479" s="5">
        <f>[1]Expense!I250</f>
        <v>3215</v>
      </c>
      <c r="L479" s="5">
        <f>[2]Expense!K226</f>
        <v>3001.08</v>
      </c>
      <c r="M479" s="5">
        <v>2840.7</v>
      </c>
      <c r="N479" s="5">
        <v>2750.44</v>
      </c>
      <c r="O479" s="38">
        <f>(G479-K479)/K479</f>
        <v>-0.58009331259720065</v>
      </c>
      <c r="P479" s="18">
        <f>G479-K479</f>
        <v>-1865</v>
      </c>
    </row>
    <row r="480" spans="1:16" x14ac:dyDescent="0.25">
      <c r="A480" s="1">
        <v>14230</v>
      </c>
      <c r="B480" s="1">
        <v>53425</v>
      </c>
      <c r="C480" s="1" t="s">
        <v>31</v>
      </c>
      <c r="G480" s="5">
        <v>600</v>
      </c>
      <c r="H480" s="5">
        <v>600</v>
      </c>
      <c r="I480" s="5">
        <v>600</v>
      </c>
      <c r="J480" s="5">
        <f>[1]Expense!N251</f>
        <v>792.17</v>
      </c>
      <c r="K480" s="5">
        <f>[1]Expense!I251</f>
        <v>600</v>
      </c>
      <c r="L480" s="5">
        <f>[2]Expense!K227</f>
        <v>588</v>
      </c>
      <c r="O480" s="38">
        <f>(G480-K480)/K480</f>
        <v>0</v>
      </c>
      <c r="P480" s="18">
        <f>G480-K480</f>
        <v>0</v>
      </c>
    </row>
    <row r="481" spans="1:16" x14ac:dyDescent="0.25">
      <c r="C481" s="1" t="s">
        <v>478</v>
      </c>
      <c r="D481" s="1">
        <v>12</v>
      </c>
      <c r="E481" s="1">
        <v>50</v>
      </c>
      <c r="F481" s="1">
        <v>600</v>
      </c>
      <c r="G481" s="19"/>
      <c r="O481" s="38"/>
      <c r="P481" s="18"/>
    </row>
    <row r="482" spans="1:16" x14ac:dyDescent="0.25">
      <c r="A482" s="1">
        <v>14230</v>
      </c>
      <c r="B482" s="1">
        <v>53500</v>
      </c>
      <c r="C482" s="1" t="s">
        <v>123</v>
      </c>
      <c r="G482" s="19"/>
      <c r="J482" s="5"/>
      <c r="M482" s="5">
        <v>59994.62</v>
      </c>
      <c r="N482" s="5">
        <v>200236.34</v>
      </c>
      <c r="O482" s="38"/>
      <c r="P482" s="18"/>
    </row>
    <row r="483" spans="1:16" x14ac:dyDescent="0.25">
      <c r="A483" s="1">
        <v>14230</v>
      </c>
      <c r="B483" s="1">
        <v>53502</v>
      </c>
      <c r="C483" s="1" t="s">
        <v>124</v>
      </c>
      <c r="G483" s="5">
        <f>SUM(F484:F485)</f>
        <v>811075</v>
      </c>
      <c r="H483" s="5">
        <f>SUM(F484:F485)</f>
        <v>811075</v>
      </c>
      <c r="I483" s="5">
        <f>SUM(F484:F485)</f>
        <v>811075</v>
      </c>
      <c r="J483" s="5">
        <f>[1]Expense!N252</f>
        <v>766065.03</v>
      </c>
      <c r="K483" s="5">
        <f>[1]Expense!I252</f>
        <v>797430</v>
      </c>
      <c r="L483" s="5">
        <f>[2]Expense!K228</f>
        <v>770776.83</v>
      </c>
      <c r="M483" s="5">
        <v>403494.49</v>
      </c>
      <c r="O483" s="38">
        <f>(G483-K483)/K483</f>
        <v>1.7111219793586898E-2</v>
      </c>
      <c r="P483" s="18">
        <f>G483-K483</f>
        <v>13645</v>
      </c>
    </row>
    <row r="484" spans="1:16" x14ac:dyDescent="0.25">
      <c r="C484" s="1" t="s">
        <v>679</v>
      </c>
      <c r="F484" s="1">
        <v>796075</v>
      </c>
      <c r="G484" s="19"/>
      <c r="O484" s="38"/>
      <c r="P484" s="18"/>
    </row>
    <row r="485" spans="1:16" x14ac:dyDescent="0.25">
      <c r="C485" s="1" t="s">
        <v>479</v>
      </c>
      <c r="F485" s="1">
        <v>15000</v>
      </c>
      <c r="G485" s="19"/>
      <c r="J485" s="5"/>
      <c r="O485" s="38"/>
      <c r="P485" s="18"/>
    </row>
    <row r="486" spans="1:16" x14ac:dyDescent="0.25">
      <c r="A486" s="1">
        <v>14230</v>
      </c>
      <c r="B486" s="1">
        <v>53550</v>
      </c>
      <c r="C486" s="1" t="s">
        <v>125</v>
      </c>
      <c r="G486" s="19"/>
      <c r="J486" s="5"/>
      <c r="M486" s="5">
        <v>20550</v>
      </c>
      <c r="N486" s="5">
        <v>50847.25</v>
      </c>
      <c r="O486" s="38"/>
      <c r="P486" s="18"/>
    </row>
    <row r="487" spans="1:16" x14ac:dyDescent="0.25">
      <c r="A487" s="1">
        <v>14230</v>
      </c>
      <c r="B487" s="1">
        <v>53600</v>
      </c>
      <c r="C487" s="1" t="s">
        <v>78</v>
      </c>
      <c r="G487" s="54">
        <v>15000</v>
      </c>
      <c r="H487" s="5">
        <v>17000</v>
      </c>
      <c r="I487" s="5">
        <v>17000</v>
      </c>
      <c r="J487" s="5">
        <f>[1]Expense!N253</f>
        <v>13808.19</v>
      </c>
      <c r="K487" s="5">
        <f>[1]Expense!I253</f>
        <v>17000</v>
      </c>
      <c r="L487" s="5">
        <f>[2]Expense!K229</f>
        <v>15373.73</v>
      </c>
      <c r="M487" s="19">
        <v>14839.11</v>
      </c>
      <c r="N487" s="19">
        <v>18632.560000000001</v>
      </c>
      <c r="O487" s="38">
        <f>(G487-K487)/K487</f>
        <v>-0.11764705882352941</v>
      </c>
      <c r="P487" s="18">
        <f>G487-K487</f>
        <v>-2000</v>
      </c>
    </row>
    <row r="488" spans="1:16" x14ac:dyDescent="0.25">
      <c r="A488" s="1">
        <v>14230</v>
      </c>
      <c r="B488" s="1">
        <v>53704</v>
      </c>
      <c r="C488" s="1" t="s">
        <v>126</v>
      </c>
      <c r="G488" s="5">
        <v>0</v>
      </c>
      <c r="H488" s="5">
        <v>0</v>
      </c>
      <c r="I488" s="5">
        <v>0</v>
      </c>
      <c r="J488" s="5">
        <f>[1]Expense!N254</f>
        <v>0</v>
      </c>
      <c r="K488" s="5">
        <f>[1]Expense!I254</f>
        <v>2500</v>
      </c>
      <c r="L488" s="5">
        <f>[2]Expense!K230</f>
        <v>0</v>
      </c>
      <c r="M488" s="5">
        <v>4520</v>
      </c>
      <c r="N488" s="5">
        <v>58480</v>
      </c>
      <c r="O488" s="38">
        <f>(G488-K488)/K488</f>
        <v>-1</v>
      </c>
      <c r="P488" s="18">
        <f>G488-K488</f>
        <v>-2500</v>
      </c>
    </row>
    <row r="489" spans="1:16" x14ac:dyDescent="0.25">
      <c r="C489" s="1" t="s">
        <v>480</v>
      </c>
      <c r="G489" s="19"/>
      <c r="O489" s="38"/>
      <c r="P489" s="18"/>
    </row>
    <row r="490" spans="1:16" x14ac:dyDescent="0.25">
      <c r="C490" s="1" t="s">
        <v>481</v>
      </c>
      <c r="G490" s="19"/>
      <c r="J490" s="5"/>
      <c r="O490" s="38"/>
      <c r="P490" s="18"/>
    </row>
    <row r="491" spans="1:16" x14ac:dyDescent="0.25">
      <c r="C491" s="1" t="s">
        <v>482</v>
      </c>
      <c r="G491" s="19"/>
      <c r="J491" s="5"/>
      <c r="O491" s="38"/>
      <c r="P491" s="18"/>
    </row>
    <row r="492" spans="1:16" x14ac:dyDescent="0.25">
      <c r="A492" s="1">
        <v>14230</v>
      </c>
      <c r="B492" s="1">
        <v>53910</v>
      </c>
      <c r="C492" s="1" t="s">
        <v>127</v>
      </c>
      <c r="G492" s="65">
        <v>3000</v>
      </c>
      <c r="H492" s="5">
        <v>3250</v>
      </c>
      <c r="I492" s="5">
        <v>3250</v>
      </c>
      <c r="J492" s="5">
        <f>[1]Expense!N255</f>
        <v>2681.2</v>
      </c>
      <c r="K492" s="5">
        <f>[1]Expense!I255</f>
        <v>3780</v>
      </c>
      <c r="L492" s="5">
        <f>[2]Expense!K231</f>
        <v>2313.0500000000002</v>
      </c>
      <c r="M492" s="5">
        <v>2565.6999999999998</v>
      </c>
      <c r="N492" s="5">
        <v>2589.5500000000002</v>
      </c>
      <c r="O492" s="38">
        <f>(G492-K492)/K492</f>
        <v>-0.20634920634920634</v>
      </c>
      <c r="P492" s="18">
        <f>G492-K492</f>
        <v>-780</v>
      </c>
    </row>
    <row r="493" spans="1:16" x14ac:dyDescent="0.25">
      <c r="A493" s="1">
        <v>14230</v>
      </c>
      <c r="B493" s="1">
        <v>53915</v>
      </c>
      <c r="C493" s="1" t="s">
        <v>128</v>
      </c>
      <c r="G493" s="19">
        <v>210000</v>
      </c>
      <c r="H493" s="19">
        <v>210000</v>
      </c>
      <c r="I493" s="5">
        <f>SUM(F494:F495)</f>
        <v>219920</v>
      </c>
      <c r="J493" s="5">
        <f>[1]Expense!N256</f>
        <v>188571.92</v>
      </c>
      <c r="K493" s="5">
        <f>[1]Expense!I256</f>
        <v>200000</v>
      </c>
      <c r="L493" s="5">
        <f>[2]Expense!K232</f>
        <v>172866.8</v>
      </c>
      <c r="M493" s="5">
        <v>160204.21</v>
      </c>
      <c r="N493" s="5">
        <v>132239.18</v>
      </c>
      <c r="O493" s="38">
        <f>(G493-K493)/K493</f>
        <v>0.05</v>
      </c>
      <c r="P493" s="18">
        <f>G493-K493</f>
        <v>10000</v>
      </c>
    </row>
    <row r="494" spans="1:16" x14ac:dyDescent="0.25">
      <c r="C494" s="1" t="s">
        <v>680</v>
      </c>
      <c r="D494" s="1">
        <v>76650</v>
      </c>
      <c r="E494" s="1">
        <v>2.83</v>
      </c>
      <c r="F494" s="1">
        <v>216920</v>
      </c>
      <c r="G494" s="19"/>
      <c r="J494" s="5"/>
      <c r="O494" s="38"/>
      <c r="P494" s="18"/>
    </row>
    <row r="495" spans="1:16" x14ac:dyDescent="0.25">
      <c r="C495" s="1" t="s">
        <v>483</v>
      </c>
      <c r="D495" s="1">
        <v>1</v>
      </c>
      <c r="E495" s="1">
        <v>3000</v>
      </c>
      <c r="F495" s="1">
        <v>3000</v>
      </c>
      <c r="G495" s="19"/>
      <c r="J495" s="5"/>
      <c r="O495" s="38"/>
      <c r="P495" s="18"/>
    </row>
    <row r="496" spans="1:16" x14ac:dyDescent="0.25">
      <c r="C496" s="1" t="s">
        <v>688</v>
      </c>
      <c r="G496" s="19"/>
      <c r="J496" s="5"/>
      <c r="O496" s="38"/>
      <c r="P496" s="18"/>
    </row>
    <row r="497" spans="1:16" x14ac:dyDescent="0.25">
      <c r="A497" s="1">
        <v>14230</v>
      </c>
      <c r="B497" s="1">
        <v>54350</v>
      </c>
      <c r="C497" s="1" t="s">
        <v>34</v>
      </c>
      <c r="G497" s="19">
        <f>SUM(F498:F499)</f>
        <v>1000</v>
      </c>
      <c r="H497" s="19">
        <f>SUM(F498:F499)</f>
        <v>1000</v>
      </c>
      <c r="I497" s="5">
        <f>SUM(F498:F499)</f>
        <v>1000</v>
      </c>
      <c r="J497" s="5">
        <f>[1]Expense!N257</f>
        <v>4633.74</v>
      </c>
      <c r="K497" s="5">
        <f>[1]Expense!I257</f>
        <v>500</v>
      </c>
      <c r="L497" s="5">
        <f>[2]Expense!K233</f>
        <v>2043.07</v>
      </c>
      <c r="M497" s="5">
        <v>237.83</v>
      </c>
      <c r="N497" s="5">
        <v>11.24</v>
      </c>
      <c r="O497" s="38">
        <f>(G497-K497)/K497</f>
        <v>1</v>
      </c>
      <c r="P497" s="18">
        <f>G497-K497</f>
        <v>500</v>
      </c>
    </row>
    <row r="498" spans="1:16" x14ac:dyDescent="0.25">
      <c r="C498" s="1" t="s">
        <v>681</v>
      </c>
      <c r="F498" s="1">
        <v>500</v>
      </c>
      <c r="G498" s="19"/>
      <c r="J498" s="5"/>
      <c r="O498" s="38"/>
      <c r="P498" s="18"/>
    </row>
    <row r="499" spans="1:16" x14ac:dyDescent="0.25">
      <c r="C499" s="1" t="s">
        <v>682</v>
      </c>
      <c r="F499" s="1">
        <v>500</v>
      </c>
      <c r="G499" s="19"/>
      <c r="J499" s="5"/>
      <c r="O499" s="38"/>
      <c r="P499" s="18"/>
    </row>
    <row r="500" spans="1:16" x14ac:dyDescent="0.25">
      <c r="A500" s="1">
        <v>14230</v>
      </c>
      <c r="B500" s="1">
        <v>54352</v>
      </c>
      <c r="C500" s="1" t="s">
        <v>58</v>
      </c>
      <c r="G500" s="19">
        <v>2200</v>
      </c>
      <c r="H500" s="19">
        <v>2200</v>
      </c>
      <c r="I500" s="5">
        <f>F501+F502</f>
        <v>2200</v>
      </c>
      <c r="J500" s="5">
        <f>[1]Expense!N258</f>
        <v>4118.58</v>
      </c>
      <c r="K500" s="5">
        <f>[1]Expense!I258</f>
        <v>1700</v>
      </c>
      <c r="L500" s="5">
        <f>[2]Expense!K234</f>
        <v>15450</v>
      </c>
      <c r="M500" s="5">
        <v>20685.54</v>
      </c>
      <c r="N500" s="5">
        <v>19746.87</v>
      </c>
      <c r="O500" s="38">
        <f>(G500-K500)/K500</f>
        <v>0.29411764705882354</v>
      </c>
      <c r="P500" s="18">
        <f>G500-K500</f>
        <v>500</v>
      </c>
    </row>
    <row r="501" spans="1:16" x14ac:dyDescent="0.25">
      <c r="C501" s="1" t="s">
        <v>661</v>
      </c>
      <c r="F501" s="1">
        <v>1700</v>
      </c>
      <c r="G501" s="19"/>
      <c r="J501" s="5"/>
      <c r="O501" s="38"/>
      <c r="P501" s="18"/>
    </row>
    <row r="502" spans="1:16" x14ac:dyDescent="0.25">
      <c r="C502" s="1" t="s">
        <v>484</v>
      </c>
      <c r="F502" s="1">
        <v>500</v>
      </c>
      <c r="G502" s="19"/>
      <c r="J502" s="5"/>
      <c r="O502" s="38"/>
      <c r="P502" s="18"/>
    </row>
    <row r="503" spans="1:16" x14ac:dyDescent="0.25">
      <c r="A503" s="1">
        <v>14230</v>
      </c>
      <c r="B503" s="1">
        <v>54353</v>
      </c>
      <c r="C503" s="1" t="s">
        <v>35</v>
      </c>
      <c r="G503" s="5">
        <v>4440</v>
      </c>
      <c r="H503" s="5">
        <v>4440</v>
      </c>
      <c r="I503" s="5">
        <v>4440</v>
      </c>
      <c r="J503" s="5">
        <f>[1]Expense!N259</f>
        <v>4139.57</v>
      </c>
      <c r="K503" s="5">
        <f>[1]Expense!I259</f>
        <v>3900</v>
      </c>
      <c r="L503" s="5">
        <f>[2]Expense!K235</f>
        <v>3933.89</v>
      </c>
      <c r="M503" s="5">
        <v>5224.54</v>
      </c>
      <c r="N503" s="5">
        <v>5792.36</v>
      </c>
      <c r="O503" s="38">
        <f>(G503-K503)/K503</f>
        <v>0.13846153846153847</v>
      </c>
      <c r="P503" s="18">
        <f>G503-K503</f>
        <v>540</v>
      </c>
    </row>
    <row r="504" spans="1:16" x14ac:dyDescent="0.25">
      <c r="A504" s="1">
        <v>14230</v>
      </c>
      <c r="B504" s="1">
        <v>54800</v>
      </c>
      <c r="C504" s="1" t="s">
        <v>36</v>
      </c>
      <c r="G504" s="19">
        <v>15877</v>
      </c>
      <c r="H504" s="19">
        <v>15877</v>
      </c>
      <c r="I504" s="19">
        <v>15877</v>
      </c>
      <c r="J504" s="5">
        <f>[1]Expense!N260</f>
        <v>13477.66</v>
      </c>
      <c r="K504" s="5">
        <f>[1]Expense!I260</f>
        <v>13478</v>
      </c>
      <c r="L504" s="5">
        <f>[2]Expense!K236</f>
        <v>12252.44</v>
      </c>
      <c r="M504" s="5">
        <v>11450.84</v>
      </c>
      <c r="N504" s="5">
        <v>10701.7</v>
      </c>
      <c r="O504" s="38">
        <f>(G504-K504)/K504</f>
        <v>0.17799376762130881</v>
      </c>
      <c r="P504" s="18">
        <f>G504-K504</f>
        <v>2399</v>
      </c>
    </row>
    <row r="505" spans="1:16" x14ac:dyDescent="0.25">
      <c r="A505" s="1">
        <v>14230</v>
      </c>
      <c r="B505" s="1">
        <v>55200</v>
      </c>
      <c r="C505" s="1" t="s">
        <v>108</v>
      </c>
      <c r="G505" s="19"/>
      <c r="J505" s="5">
        <f>[1]Expense!N261</f>
        <v>137.85</v>
      </c>
      <c r="K505" s="5">
        <f>[1]Expense!I261</f>
        <v>0</v>
      </c>
      <c r="L505" s="5">
        <f>[2]Expense!K237</f>
        <v>975</v>
      </c>
      <c r="M505" s="5">
        <v>975</v>
      </c>
      <c r="N505" s="5">
        <v>52682.5</v>
      </c>
      <c r="O505" s="38" t="e">
        <f>(G505-K505)/K505</f>
        <v>#DIV/0!</v>
      </c>
      <c r="P505" s="18">
        <f>G505-K505</f>
        <v>0</v>
      </c>
    </row>
    <row r="506" spans="1:16" x14ac:dyDescent="0.25">
      <c r="A506" s="1">
        <v>14230</v>
      </c>
      <c r="B506" s="1">
        <v>55600</v>
      </c>
      <c r="C506" s="1" t="s">
        <v>50</v>
      </c>
      <c r="G506" s="19">
        <v>3385</v>
      </c>
      <c r="H506" s="19">
        <v>3385</v>
      </c>
      <c r="I506" s="5">
        <v>3385</v>
      </c>
      <c r="J506" s="5">
        <f>[1]Expense!N262</f>
        <v>3410</v>
      </c>
      <c r="K506" s="5">
        <f>[1]Expense!I262</f>
        <v>3385</v>
      </c>
      <c r="L506" s="5">
        <f>[2]Expense!K238</f>
        <v>3679</v>
      </c>
      <c r="M506" s="5">
        <v>6700</v>
      </c>
      <c r="N506" s="5">
        <v>4279</v>
      </c>
      <c r="O506" s="38">
        <f>(G506-K506)/K506</f>
        <v>0</v>
      </c>
      <c r="P506" s="18">
        <f>G506-K506</f>
        <v>0</v>
      </c>
    </row>
    <row r="507" spans="1:16" x14ac:dyDescent="0.25">
      <c r="C507" s="1" t="s">
        <v>485</v>
      </c>
      <c r="D507" s="1">
        <v>1</v>
      </c>
      <c r="E507" s="1">
        <v>3200</v>
      </c>
      <c r="F507" s="1">
        <v>3200</v>
      </c>
      <c r="G507" s="19"/>
      <c r="J507" s="5"/>
      <c r="O507" s="38"/>
      <c r="P507" s="18"/>
    </row>
    <row r="508" spans="1:16" x14ac:dyDescent="0.25">
      <c r="C508" s="1" t="s">
        <v>486</v>
      </c>
      <c r="G508" s="19"/>
      <c r="J508" s="5"/>
      <c r="O508" s="38"/>
      <c r="P508" s="18"/>
    </row>
    <row r="509" spans="1:16" x14ac:dyDescent="0.25">
      <c r="C509" s="1" t="s">
        <v>487</v>
      </c>
      <c r="G509" s="19"/>
      <c r="J509" s="5"/>
      <c r="O509" s="38"/>
      <c r="P509" s="18"/>
    </row>
    <row r="510" spans="1:16" x14ac:dyDescent="0.25">
      <c r="C510" s="1" t="s">
        <v>488</v>
      </c>
      <c r="G510" s="19"/>
      <c r="J510" s="5"/>
      <c r="O510" s="38"/>
      <c r="P510" s="18"/>
    </row>
    <row r="511" spans="1:16" x14ac:dyDescent="0.25">
      <c r="C511" s="1" t="s">
        <v>489</v>
      </c>
      <c r="D511" s="1">
        <v>1</v>
      </c>
      <c r="E511" s="1">
        <v>35</v>
      </c>
      <c r="F511" s="1">
        <v>35</v>
      </c>
      <c r="G511" s="19"/>
      <c r="J511" s="5"/>
      <c r="O511" s="38"/>
      <c r="P511" s="18"/>
    </row>
    <row r="512" spans="1:16" x14ac:dyDescent="0.25">
      <c r="C512" s="1" t="s">
        <v>490</v>
      </c>
      <c r="D512" s="1">
        <v>2</v>
      </c>
      <c r="E512" s="1">
        <v>75</v>
      </c>
      <c r="F512" s="1">
        <v>150</v>
      </c>
      <c r="G512" s="19"/>
      <c r="J512" s="5"/>
      <c r="O512" s="38"/>
      <c r="P512" s="18"/>
    </row>
    <row r="513" spans="1:16" x14ac:dyDescent="0.25">
      <c r="C513" s="1" t="s">
        <v>491</v>
      </c>
      <c r="G513" s="19"/>
      <c r="O513" s="38"/>
      <c r="P513" s="18"/>
    </row>
    <row r="514" spans="1:16" x14ac:dyDescent="0.25">
      <c r="A514" s="1">
        <v>14230</v>
      </c>
      <c r="B514" s="1">
        <v>56001</v>
      </c>
      <c r="C514" s="1" t="s">
        <v>129</v>
      </c>
      <c r="G514" s="19">
        <v>1200</v>
      </c>
      <c r="H514" s="19">
        <v>1200</v>
      </c>
      <c r="I514" s="5">
        <v>1200</v>
      </c>
      <c r="J514" s="5">
        <f>[1]Expense!N263</f>
        <v>885.41</v>
      </c>
      <c r="K514" s="5">
        <f>[1]Expense!I263</f>
        <v>1000</v>
      </c>
      <c r="L514" s="5">
        <f>[2]Expense!K239</f>
        <v>1123.3499999999999</v>
      </c>
      <c r="M514" s="5">
        <v>1492.94</v>
      </c>
      <c r="N514" s="5">
        <v>5678.5</v>
      </c>
      <c r="O514" s="38">
        <f>(G514-K514)/K514</f>
        <v>0.2</v>
      </c>
      <c r="P514" s="18">
        <f>G514-K514</f>
        <v>200</v>
      </c>
    </row>
    <row r="515" spans="1:16" x14ac:dyDescent="0.25">
      <c r="A515" s="1">
        <v>14230</v>
      </c>
      <c r="B515" s="1">
        <v>56005</v>
      </c>
      <c r="C515" s="1" t="s">
        <v>130</v>
      </c>
      <c r="G515" s="54">
        <f>SUM(F516:F521)</f>
        <v>7100</v>
      </c>
      <c r="H515" s="19">
        <v>13100</v>
      </c>
      <c r="I515" s="5">
        <f>SUM(F516:F521)</f>
        <v>7100</v>
      </c>
      <c r="J515" s="5">
        <f>[1]Expense!N264</f>
        <v>6586.92</v>
      </c>
      <c r="K515" s="5">
        <f>[1]Expense!I264</f>
        <v>9000</v>
      </c>
      <c r="L515" s="5">
        <f>[2]Expense!K240</f>
        <v>486.15</v>
      </c>
      <c r="M515" s="5">
        <v>2293.7399999999998</v>
      </c>
      <c r="N515" s="5">
        <v>5574.2</v>
      </c>
      <c r="O515" s="38">
        <f>(G515-K515)/K515</f>
        <v>-0.21111111111111111</v>
      </c>
      <c r="P515" s="18">
        <f>G515-K515</f>
        <v>-1900</v>
      </c>
    </row>
    <row r="516" spans="1:16" x14ac:dyDescent="0.25">
      <c r="C516" s="1" t="s">
        <v>492</v>
      </c>
      <c r="D516" s="1">
        <v>1</v>
      </c>
      <c r="E516" s="1">
        <v>1000</v>
      </c>
      <c r="F516" s="1">
        <v>1000</v>
      </c>
      <c r="G516" s="19"/>
      <c r="J516" s="5"/>
      <c r="O516" s="38"/>
      <c r="P516" s="18"/>
    </row>
    <row r="517" spans="1:16" x14ac:dyDescent="0.25">
      <c r="C517" s="1" t="s">
        <v>493</v>
      </c>
      <c r="D517" s="1">
        <v>1</v>
      </c>
      <c r="E517" s="1">
        <v>840</v>
      </c>
      <c r="F517" s="1">
        <v>840</v>
      </c>
      <c r="G517" s="19"/>
      <c r="J517" s="5"/>
      <c r="O517" s="38"/>
      <c r="P517" s="18"/>
    </row>
    <row r="518" spans="1:16" x14ac:dyDescent="0.25">
      <c r="C518" s="1" t="s">
        <v>494</v>
      </c>
      <c r="D518" s="1">
        <v>4</v>
      </c>
      <c r="E518" s="1">
        <v>940</v>
      </c>
      <c r="F518" s="1">
        <f>E518*D518</f>
        <v>3760</v>
      </c>
      <c r="G518" s="19"/>
      <c r="J518" s="5"/>
      <c r="O518" s="38"/>
      <c r="P518" s="18"/>
    </row>
    <row r="519" spans="1:16" x14ac:dyDescent="0.25">
      <c r="C519" s="1" t="s">
        <v>495</v>
      </c>
      <c r="D519" s="1">
        <v>1</v>
      </c>
      <c r="E519" s="1">
        <v>500</v>
      </c>
      <c r="F519" s="1">
        <v>500</v>
      </c>
      <c r="G519" s="19"/>
      <c r="J519" s="5"/>
      <c r="O519" s="38"/>
      <c r="P519" s="18"/>
    </row>
    <row r="520" spans="1:16" x14ac:dyDescent="0.25">
      <c r="C520" s="1" t="s">
        <v>496</v>
      </c>
      <c r="D520" s="1">
        <v>1</v>
      </c>
      <c r="E520" s="1">
        <v>6000</v>
      </c>
      <c r="F520" s="55">
        <v>0</v>
      </c>
      <c r="G520" s="19"/>
      <c r="J520" s="5"/>
      <c r="O520" s="38"/>
      <c r="P520" s="18"/>
    </row>
    <row r="521" spans="1:16" x14ac:dyDescent="0.25">
      <c r="C521" s="1" t="s">
        <v>497</v>
      </c>
      <c r="D521" s="1">
        <v>1</v>
      </c>
      <c r="E521" s="1">
        <v>1000</v>
      </c>
      <c r="F521" s="1">
        <v>1000</v>
      </c>
      <c r="G521" s="19"/>
      <c r="J521" s="5"/>
      <c r="O521" s="38"/>
      <c r="P521" s="18"/>
    </row>
    <row r="522" spans="1:16" x14ac:dyDescent="0.25">
      <c r="A522" s="1">
        <v>14230</v>
      </c>
      <c r="B522" s="1">
        <v>56051</v>
      </c>
      <c r="C522" s="1" t="s">
        <v>131</v>
      </c>
      <c r="G522" s="19"/>
      <c r="J522" s="5"/>
      <c r="M522" s="5">
        <v>52317.9</v>
      </c>
      <c r="N522" s="5">
        <v>110491.79</v>
      </c>
      <c r="O522" s="38"/>
      <c r="P522" s="18"/>
    </row>
    <row r="523" spans="1:16" x14ac:dyDescent="0.25">
      <c r="A523" s="1">
        <v>14230</v>
      </c>
      <c r="B523" s="1">
        <v>56100</v>
      </c>
      <c r="C523" s="1" t="s">
        <v>71</v>
      </c>
      <c r="G523" s="19">
        <v>10987</v>
      </c>
      <c r="H523" s="19">
        <v>10987</v>
      </c>
      <c r="I523" s="5">
        <f>SUM(F524:F531)</f>
        <v>10987</v>
      </c>
      <c r="J523" s="5">
        <f>[1]Expense!N265</f>
        <v>10006.33</v>
      </c>
      <c r="K523" s="5">
        <f>[1]Expense!I265</f>
        <v>10487</v>
      </c>
      <c r="L523" s="5">
        <f>[2]Expense!K241</f>
        <v>8632.36</v>
      </c>
      <c r="M523" s="5">
        <v>10358</v>
      </c>
      <c r="N523" s="5">
        <v>11114.68</v>
      </c>
      <c r="O523" s="38">
        <f>(G523-K523)/K523</f>
        <v>4.7678077619910365E-2</v>
      </c>
      <c r="P523" s="18">
        <f>G523-K523</f>
        <v>500</v>
      </c>
    </row>
    <row r="524" spans="1:16" x14ac:dyDescent="0.25">
      <c r="C524" s="1" t="s">
        <v>498</v>
      </c>
      <c r="F524" s="1">
        <v>3500</v>
      </c>
      <c r="G524" s="19"/>
      <c r="J524" s="5"/>
      <c r="O524" s="38"/>
      <c r="P524" s="18"/>
    </row>
    <row r="525" spans="1:16" x14ac:dyDescent="0.25">
      <c r="C525" s="1" t="s">
        <v>499</v>
      </c>
      <c r="F525" s="1">
        <v>5000</v>
      </c>
      <c r="G525" s="19"/>
      <c r="J525" s="5"/>
      <c r="O525" s="38"/>
      <c r="P525" s="18"/>
    </row>
    <row r="526" spans="1:16" x14ac:dyDescent="0.25">
      <c r="C526" s="1" t="s">
        <v>500</v>
      </c>
      <c r="D526" s="1">
        <v>6</v>
      </c>
      <c r="E526" s="1">
        <v>123</v>
      </c>
      <c r="F526" s="1">
        <v>738</v>
      </c>
      <c r="G526" s="19"/>
      <c r="J526" s="5"/>
      <c r="O526" s="38"/>
      <c r="P526" s="18"/>
    </row>
    <row r="527" spans="1:16" x14ac:dyDescent="0.25">
      <c r="C527" s="1" t="s">
        <v>501</v>
      </c>
      <c r="D527" s="1">
        <v>1</v>
      </c>
      <c r="E527" s="1">
        <v>450</v>
      </c>
      <c r="F527" s="1">
        <v>450</v>
      </c>
      <c r="G527" s="19"/>
      <c r="J527" s="5"/>
      <c r="O527" s="38"/>
      <c r="P527" s="18"/>
    </row>
    <row r="528" spans="1:16" x14ac:dyDescent="0.25">
      <c r="C528" s="1" t="s">
        <v>502</v>
      </c>
      <c r="D528" s="1">
        <v>1</v>
      </c>
      <c r="E528" s="1">
        <v>750</v>
      </c>
      <c r="F528" s="1">
        <v>750</v>
      </c>
      <c r="G528" s="19"/>
      <c r="J528" s="5"/>
      <c r="O528" s="38"/>
      <c r="P528" s="18"/>
    </row>
    <row r="529" spans="1:16" x14ac:dyDescent="0.25">
      <c r="C529" s="43" t="s">
        <v>503</v>
      </c>
      <c r="G529" s="19"/>
      <c r="J529" s="5"/>
      <c r="O529" s="38"/>
      <c r="P529" s="18"/>
    </row>
    <row r="530" spans="1:16" x14ac:dyDescent="0.25">
      <c r="C530" s="43" t="s">
        <v>504</v>
      </c>
      <c r="G530" s="19"/>
      <c r="J530" s="5"/>
      <c r="O530" s="38"/>
      <c r="P530" s="18"/>
    </row>
    <row r="531" spans="1:16" x14ac:dyDescent="0.25">
      <c r="C531" s="1" t="s">
        <v>505</v>
      </c>
      <c r="D531" s="1">
        <v>3</v>
      </c>
      <c r="E531" s="1">
        <v>183</v>
      </c>
      <c r="F531" s="1">
        <v>549</v>
      </c>
      <c r="G531" s="19"/>
      <c r="J531" s="5"/>
      <c r="O531" s="38"/>
      <c r="P531" s="18"/>
    </row>
    <row r="532" spans="1:16" x14ac:dyDescent="0.25">
      <c r="A532" s="1">
        <v>14230</v>
      </c>
      <c r="B532" s="1">
        <v>56110</v>
      </c>
      <c r="C532" s="1" t="s">
        <v>85</v>
      </c>
      <c r="G532" s="19">
        <v>17470</v>
      </c>
      <c r="H532" s="19">
        <v>17470</v>
      </c>
      <c r="I532" s="5">
        <f>SUM(F533:F543)</f>
        <v>17470</v>
      </c>
      <c r="J532" s="5">
        <f>[1]Expense!N266</f>
        <v>12332.39</v>
      </c>
      <c r="K532" s="5">
        <f>[1]Expense!I266</f>
        <v>14500</v>
      </c>
      <c r="L532" s="5">
        <f>[2]Expense!K242</f>
        <v>6334.28</v>
      </c>
      <c r="M532" s="5">
        <v>10383.719999999999</v>
      </c>
      <c r="N532" s="5">
        <v>10077.280000000001</v>
      </c>
      <c r="O532" s="38">
        <f>(G532-K532)/K532</f>
        <v>0.20482758620689656</v>
      </c>
      <c r="P532" s="18">
        <f>G532-K532</f>
        <v>2970</v>
      </c>
    </row>
    <row r="533" spans="1:16" x14ac:dyDescent="0.25">
      <c r="C533" s="1" t="s">
        <v>506</v>
      </c>
      <c r="D533" s="1">
        <v>6</v>
      </c>
      <c r="E533" s="1">
        <v>750</v>
      </c>
      <c r="F533" s="1">
        <v>4500</v>
      </c>
      <c r="G533" s="19"/>
      <c r="J533" s="5"/>
      <c r="O533" s="38"/>
      <c r="P533" s="18"/>
    </row>
    <row r="534" spans="1:16" x14ac:dyDescent="0.25">
      <c r="C534" s="1" t="s">
        <v>507</v>
      </c>
      <c r="D534" s="1">
        <v>3</v>
      </c>
      <c r="E534" s="1">
        <v>750</v>
      </c>
      <c r="F534" s="1">
        <v>2250</v>
      </c>
      <c r="G534" s="19"/>
      <c r="J534" s="5"/>
      <c r="O534" s="38"/>
      <c r="P534" s="18"/>
    </row>
    <row r="535" spans="1:16" x14ac:dyDescent="0.25">
      <c r="C535" s="1" t="s">
        <v>508</v>
      </c>
      <c r="D535" s="1">
        <v>1</v>
      </c>
      <c r="E535" s="1">
        <v>1760</v>
      </c>
      <c r="F535" s="1">
        <v>1760</v>
      </c>
      <c r="G535" s="19"/>
      <c r="J535" s="5"/>
      <c r="O535" s="38"/>
      <c r="P535" s="18"/>
    </row>
    <row r="536" spans="1:16" x14ac:dyDescent="0.25">
      <c r="C536" s="1" t="s">
        <v>509</v>
      </c>
      <c r="D536" s="1">
        <v>1</v>
      </c>
      <c r="E536" s="1">
        <v>450</v>
      </c>
      <c r="F536" s="1">
        <v>450</v>
      </c>
      <c r="G536" s="19"/>
      <c r="J536" s="5"/>
      <c r="O536" s="38"/>
      <c r="P536" s="18"/>
    </row>
    <row r="537" spans="1:16" x14ac:dyDescent="0.25">
      <c r="C537" s="1" t="s">
        <v>510</v>
      </c>
      <c r="D537" s="1">
        <v>2</v>
      </c>
      <c r="E537" s="1">
        <v>490</v>
      </c>
      <c r="F537" s="1">
        <v>980</v>
      </c>
      <c r="G537" s="19"/>
      <c r="J537" s="5"/>
      <c r="O537" s="38"/>
      <c r="P537" s="18"/>
    </row>
    <row r="538" spans="1:16" x14ac:dyDescent="0.25">
      <c r="C538" s="1" t="s">
        <v>689</v>
      </c>
      <c r="D538" s="1">
        <v>20</v>
      </c>
      <c r="E538" s="1">
        <v>35</v>
      </c>
      <c r="F538" s="1">
        <v>700</v>
      </c>
      <c r="G538" s="19"/>
      <c r="J538" s="5"/>
      <c r="O538" s="38"/>
      <c r="P538" s="18"/>
    </row>
    <row r="539" spans="1:16" x14ac:dyDescent="0.25">
      <c r="C539" s="1" t="s">
        <v>511</v>
      </c>
      <c r="D539" s="1">
        <v>1</v>
      </c>
      <c r="E539" s="1">
        <v>1970</v>
      </c>
      <c r="F539" s="1">
        <v>1970</v>
      </c>
      <c r="G539" s="19"/>
      <c r="J539" s="5"/>
      <c r="O539" s="38"/>
      <c r="P539" s="18"/>
    </row>
    <row r="540" spans="1:16" x14ac:dyDescent="0.25">
      <c r="C540" s="1" t="s">
        <v>512</v>
      </c>
      <c r="D540" s="1">
        <v>1</v>
      </c>
      <c r="E540" s="1">
        <v>445</v>
      </c>
      <c r="F540" s="1">
        <v>445</v>
      </c>
      <c r="G540" s="19"/>
      <c r="J540" s="5"/>
      <c r="O540" s="38"/>
      <c r="P540" s="18"/>
    </row>
    <row r="541" spans="1:16" x14ac:dyDescent="0.25">
      <c r="C541" s="1" t="s">
        <v>513</v>
      </c>
      <c r="D541" s="1">
        <v>1</v>
      </c>
      <c r="E541" s="1">
        <v>325</v>
      </c>
      <c r="F541" s="1">
        <v>325</v>
      </c>
      <c r="G541" s="19"/>
      <c r="J541" s="5"/>
      <c r="O541" s="38"/>
      <c r="P541" s="18"/>
    </row>
    <row r="542" spans="1:16" x14ac:dyDescent="0.25">
      <c r="C542" s="1" t="s">
        <v>514</v>
      </c>
      <c r="D542" s="1">
        <v>1</v>
      </c>
      <c r="E542" s="1">
        <v>2500</v>
      </c>
      <c r="F542" s="1">
        <v>2500</v>
      </c>
      <c r="G542" s="19"/>
      <c r="J542" s="5"/>
      <c r="O542" s="38"/>
      <c r="P542" s="18"/>
    </row>
    <row r="543" spans="1:16" x14ac:dyDescent="0.25">
      <c r="C543" s="1" t="s">
        <v>515</v>
      </c>
      <c r="D543" s="1">
        <v>2</v>
      </c>
      <c r="E543" s="1">
        <v>795</v>
      </c>
      <c r="F543" s="1">
        <v>1590</v>
      </c>
      <c r="G543" s="19"/>
      <c r="J543" s="5"/>
      <c r="O543" s="38"/>
      <c r="P543" s="18"/>
    </row>
    <row r="544" spans="1:16" x14ac:dyDescent="0.25">
      <c r="A544" s="1">
        <v>14230</v>
      </c>
      <c r="B544" s="1">
        <v>56115</v>
      </c>
      <c r="C544" s="1" t="s">
        <v>86</v>
      </c>
      <c r="G544" s="19">
        <v>8000</v>
      </c>
      <c r="H544" s="19">
        <v>8000</v>
      </c>
      <c r="I544" s="5">
        <v>10000</v>
      </c>
      <c r="J544" s="5">
        <f>[1]Expense!N267</f>
        <v>7953.4</v>
      </c>
      <c r="K544" s="5">
        <f>[1]Expense!I267</f>
        <v>10000</v>
      </c>
      <c r="L544" s="5">
        <f>[2]Expense!K243</f>
        <v>7832.77</v>
      </c>
      <c r="M544" s="5">
        <v>8978</v>
      </c>
      <c r="N544" s="5">
        <v>7460.32</v>
      </c>
      <c r="O544" s="38">
        <f>(G544-K544)/K544</f>
        <v>-0.2</v>
      </c>
      <c r="P544" s="18">
        <f>G544-K544</f>
        <v>-2000</v>
      </c>
    </row>
    <row r="545" spans="1:16" x14ac:dyDescent="0.25">
      <c r="A545" s="1">
        <v>14230</v>
      </c>
      <c r="B545" s="1">
        <v>56125</v>
      </c>
      <c r="C545" s="1" t="s">
        <v>111</v>
      </c>
      <c r="G545" s="19">
        <v>2850</v>
      </c>
      <c r="H545" s="19">
        <v>2850</v>
      </c>
      <c r="I545" s="5">
        <f>SUM(F546:F547)</f>
        <v>2850</v>
      </c>
      <c r="J545" s="5">
        <f>[1]Expense!N268</f>
        <v>2067.1</v>
      </c>
      <c r="K545" s="5">
        <f>[1]Expense!I268</f>
        <v>2413</v>
      </c>
      <c r="L545" s="5">
        <f>[2]Expense!K244</f>
        <v>2162.3000000000002</v>
      </c>
      <c r="M545" s="5">
        <v>570.25</v>
      </c>
      <c r="N545" s="5">
        <v>2277.9</v>
      </c>
      <c r="O545" s="38">
        <f>(G545-K545)/K545</f>
        <v>0.18110236220472442</v>
      </c>
      <c r="P545" s="18">
        <f>G545-K545</f>
        <v>437</v>
      </c>
    </row>
    <row r="546" spans="1:16" x14ac:dyDescent="0.25">
      <c r="C546" s="1" t="s">
        <v>516</v>
      </c>
      <c r="D546" s="1">
        <v>1</v>
      </c>
      <c r="E546" s="1">
        <v>350</v>
      </c>
      <c r="F546" s="1">
        <v>350</v>
      </c>
      <c r="G546" s="19"/>
      <c r="J546" s="5"/>
      <c r="O546" s="38"/>
      <c r="P546" s="18"/>
    </row>
    <row r="547" spans="1:16" x14ac:dyDescent="0.25">
      <c r="C547" s="1" t="s">
        <v>517</v>
      </c>
      <c r="D547" s="1">
        <v>1</v>
      </c>
      <c r="E547" s="1">
        <v>2500</v>
      </c>
      <c r="F547" s="1">
        <v>2500</v>
      </c>
      <c r="G547" s="19"/>
      <c r="O547" s="38"/>
      <c r="P547" s="18"/>
    </row>
    <row r="548" spans="1:16" x14ac:dyDescent="0.25">
      <c r="A548" s="1">
        <v>14230</v>
      </c>
      <c r="B548" s="1">
        <v>56130</v>
      </c>
      <c r="C548" s="1" t="s">
        <v>11</v>
      </c>
      <c r="G548" s="19">
        <v>3000</v>
      </c>
      <c r="H548" s="19">
        <v>3000</v>
      </c>
      <c r="I548" s="5">
        <v>5000</v>
      </c>
      <c r="J548" s="5">
        <f>[1]Expense!N269</f>
        <v>1108.8499999999999</v>
      </c>
      <c r="K548" s="5">
        <f>[1]Expense!I269</f>
        <v>3000</v>
      </c>
      <c r="L548" s="5">
        <f>[2]Expense!K245</f>
        <v>434.66</v>
      </c>
      <c r="M548" s="5">
        <v>1409.52</v>
      </c>
      <c r="N548" s="5">
        <v>0</v>
      </c>
      <c r="O548" s="38">
        <f>(G548-K548)/K548</f>
        <v>0</v>
      </c>
      <c r="P548" s="18">
        <f>G548-K548</f>
        <v>0</v>
      </c>
    </row>
    <row r="549" spans="1:16" x14ac:dyDescent="0.25">
      <c r="C549" s="1" t="s">
        <v>518</v>
      </c>
      <c r="D549" s="1">
        <v>1</v>
      </c>
      <c r="E549" s="1">
        <v>1000</v>
      </c>
      <c r="F549" s="1">
        <v>1000</v>
      </c>
      <c r="G549" s="19"/>
      <c r="J549" s="5"/>
      <c r="O549" s="38"/>
      <c r="P549" s="18"/>
    </row>
    <row r="550" spans="1:16" x14ac:dyDescent="0.25">
      <c r="C550" s="43" t="s">
        <v>519</v>
      </c>
      <c r="G550" s="19"/>
      <c r="J550" s="5"/>
      <c r="O550" s="38"/>
      <c r="P550" s="18"/>
    </row>
    <row r="551" spans="1:16" x14ac:dyDescent="0.25">
      <c r="C551" s="43" t="s">
        <v>520</v>
      </c>
      <c r="G551" s="19"/>
      <c r="J551" s="5"/>
      <c r="O551" s="38"/>
      <c r="P551" s="18"/>
    </row>
    <row r="552" spans="1:16" x14ac:dyDescent="0.25">
      <c r="C552" s="1" t="s">
        <v>690</v>
      </c>
      <c r="D552" s="1">
        <v>1</v>
      </c>
      <c r="E552" s="1">
        <v>4000</v>
      </c>
      <c r="F552" s="1">
        <v>4000</v>
      </c>
      <c r="G552" s="19"/>
      <c r="O552" s="38"/>
      <c r="P552" s="18"/>
    </row>
    <row r="553" spans="1:16" x14ac:dyDescent="0.25">
      <c r="A553" s="1">
        <v>14230</v>
      </c>
      <c r="B553" s="1">
        <v>56200</v>
      </c>
      <c r="C553" s="1" t="s">
        <v>40</v>
      </c>
      <c r="G553" s="19">
        <v>1500</v>
      </c>
      <c r="H553" s="19">
        <v>1500</v>
      </c>
      <c r="I553" s="5">
        <v>1500</v>
      </c>
      <c r="J553" s="5">
        <f>[1]Expense!N270</f>
        <v>1078.5899999999999</v>
      </c>
      <c r="K553" s="5">
        <f>[1]Expense!I270</f>
        <v>1500</v>
      </c>
      <c r="L553" s="5">
        <f>[2]Expense!K246</f>
        <v>1033.18</v>
      </c>
      <c r="M553" s="5">
        <v>1089.83</v>
      </c>
      <c r="N553" s="5">
        <v>1473.31</v>
      </c>
      <c r="O553" s="38">
        <f>(G553-K553)/K553</f>
        <v>0</v>
      </c>
      <c r="P553" s="18">
        <f>G553-K553</f>
        <v>0</v>
      </c>
    </row>
    <row r="554" spans="1:16" x14ac:dyDescent="0.25">
      <c r="A554" s="1">
        <v>14230</v>
      </c>
      <c r="B554" s="1">
        <v>56250</v>
      </c>
      <c r="C554" s="1" t="s">
        <v>41</v>
      </c>
      <c r="G554" s="19">
        <f>SUM(F555:F556)</f>
        <v>373</v>
      </c>
      <c r="H554" s="19">
        <f>SUM(F555:F556)</f>
        <v>373</v>
      </c>
      <c r="I554" s="5">
        <v>373</v>
      </c>
      <c r="J554" s="5">
        <f>[1]Expense!N271</f>
        <v>413.49</v>
      </c>
      <c r="K554" s="5">
        <f>[1]Expense!I271</f>
        <v>373</v>
      </c>
      <c r="L554" s="5">
        <f>[2]Expense!K247</f>
        <v>288</v>
      </c>
      <c r="M554" s="5">
        <v>288</v>
      </c>
      <c r="N554" s="5">
        <v>346.99</v>
      </c>
      <c r="O554" s="38">
        <f>(G554-K554)/K554</f>
        <v>0</v>
      </c>
      <c r="P554" s="18">
        <f>G554-K554</f>
        <v>0</v>
      </c>
    </row>
    <row r="555" spans="1:16" x14ac:dyDescent="0.25">
      <c r="C555" s="1" t="s">
        <v>521</v>
      </c>
      <c r="D555" s="1">
        <v>4</v>
      </c>
      <c r="E555" s="1">
        <v>72</v>
      </c>
      <c r="F555" s="1">
        <v>288</v>
      </c>
      <c r="G555" s="19"/>
      <c r="J555" s="5"/>
      <c r="O555" s="38"/>
      <c r="P555" s="18"/>
    </row>
    <row r="556" spans="1:16" x14ac:dyDescent="0.25">
      <c r="C556" s="1" t="s">
        <v>522</v>
      </c>
      <c r="D556" s="1">
        <v>1</v>
      </c>
      <c r="E556" s="1">
        <v>85</v>
      </c>
      <c r="F556" s="1">
        <v>85</v>
      </c>
      <c r="G556" s="19"/>
      <c r="O556" s="38"/>
      <c r="P556" s="18"/>
    </row>
    <row r="557" spans="1:16" x14ac:dyDescent="0.25">
      <c r="A557" s="1">
        <v>14230</v>
      </c>
      <c r="B557" s="1">
        <v>56350</v>
      </c>
      <c r="C557" s="1" t="s">
        <v>113</v>
      </c>
      <c r="G557" s="54">
        <v>1800</v>
      </c>
      <c r="H557" s="5">
        <v>2500</v>
      </c>
      <c r="I557" s="5">
        <v>2500</v>
      </c>
      <c r="J557" s="5">
        <f>[1]Expense!N272</f>
        <v>1513.73</v>
      </c>
      <c r="K557" s="5">
        <f>[1]Expense!I272</f>
        <v>2500</v>
      </c>
      <c r="L557" s="5">
        <f>[2]Expense!K248</f>
        <v>2595.86</v>
      </c>
      <c r="M557" s="5">
        <v>1203.21</v>
      </c>
      <c r="N557" s="5">
        <v>752.75</v>
      </c>
      <c r="O557" s="38">
        <f>(G557-K557)/K557</f>
        <v>-0.28000000000000003</v>
      </c>
      <c r="P557" s="18">
        <f>G557-K557</f>
        <v>-700</v>
      </c>
    </row>
    <row r="558" spans="1:16" x14ac:dyDescent="0.25">
      <c r="A558" s="1">
        <v>14230</v>
      </c>
      <c r="B558" s="1">
        <v>56400</v>
      </c>
      <c r="C558" s="1" t="s">
        <v>132</v>
      </c>
      <c r="G558" s="54">
        <v>16000</v>
      </c>
      <c r="H558" s="19">
        <f>SUM(F559:F562)</f>
        <v>17100</v>
      </c>
      <c r="I558" s="5">
        <f>SUM(F559:F563)</f>
        <v>17100</v>
      </c>
      <c r="J558" s="5">
        <f>[1]Expense!N273</f>
        <v>14195.98</v>
      </c>
      <c r="K558" s="5">
        <f>[1]Expense!I273</f>
        <v>16100</v>
      </c>
      <c r="L558" s="5">
        <f>[2]Expense!K249</f>
        <v>13788.72</v>
      </c>
      <c r="M558" s="5">
        <v>17715.7</v>
      </c>
      <c r="N558" s="5">
        <v>13300.97</v>
      </c>
      <c r="O558" s="38">
        <f>(G558-K558)/K558</f>
        <v>-6.2111801242236021E-3</v>
      </c>
      <c r="P558" s="18">
        <f>G558-K558</f>
        <v>-100</v>
      </c>
    </row>
    <row r="559" spans="1:16" x14ac:dyDescent="0.25">
      <c r="C559" s="1" t="s">
        <v>523</v>
      </c>
      <c r="F559" s="1">
        <v>10000</v>
      </c>
      <c r="G559" s="19"/>
      <c r="J559" s="5"/>
      <c r="O559" s="38"/>
      <c r="P559" s="18"/>
    </row>
    <row r="560" spans="1:16" x14ac:dyDescent="0.25">
      <c r="C560" s="1" t="s">
        <v>691</v>
      </c>
      <c r="F560" s="1">
        <v>4200</v>
      </c>
      <c r="G560" s="19"/>
      <c r="J560" s="5"/>
      <c r="O560" s="38"/>
      <c r="P560" s="18"/>
    </row>
    <row r="561" spans="1:16" x14ac:dyDescent="0.25">
      <c r="C561" s="1" t="s">
        <v>524</v>
      </c>
      <c r="F561" s="1">
        <v>2200</v>
      </c>
      <c r="G561" s="19"/>
      <c r="J561" s="5"/>
      <c r="O561" s="38"/>
      <c r="P561" s="18"/>
    </row>
    <row r="562" spans="1:16" x14ac:dyDescent="0.25">
      <c r="C562" s="1" t="s">
        <v>525</v>
      </c>
      <c r="F562" s="1">
        <v>700</v>
      </c>
      <c r="G562" s="19"/>
      <c r="J562" s="5"/>
      <c r="O562" s="38"/>
      <c r="P562" s="18"/>
    </row>
    <row r="563" spans="1:16" x14ac:dyDescent="0.25">
      <c r="C563" s="1" t="s">
        <v>526</v>
      </c>
      <c r="G563" s="19"/>
      <c r="O563" s="38"/>
      <c r="P563" s="18"/>
    </row>
    <row r="564" spans="1:16" x14ac:dyDescent="0.25">
      <c r="A564" s="1">
        <v>14230</v>
      </c>
      <c r="B564" s="1">
        <v>56500</v>
      </c>
      <c r="C564" s="1" t="s">
        <v>133</v>
      </c>
      <c r="G564" s="54">
        <v>800</v>
      </c>
      <c r="H564" s="5">
        <v>2000</v>
      </c>
      <c r="I564" s="5">
        <v>2000</v>
      </c>
      <c r="J564" s="1">
        <f>[1]Expense!N274</f>
        <v>0</v>
      </c>
      <c r="K564" s="5">
        <f>[1]Expense!I274</f>
        <v>2000</v>
      </c>
      <c r="L564" s="5">
        <f>[2]Expense!K250</f>
        <v>0</v>
      </c>
      <c r="M564" s="5">
        <v>725.98</v>
      </c>
      <c r="O564" s="38">
        <f>(G564-K564)/K564</f>
        <v>-0.6</v>
      </c>
      <c r="P564" s="18">
        <f>G564-K564</f>
        <v>-1200</v>
      </c>
    </row>
    <row r="565" spans="1:16" x14ac:dyDescent="0.25">
      <c r="A565" s="1">
        <v>14230</v>
      </c>
      <c r="B565" s="1">
        <v>56600</v>
      </c>
      <c r="C565" s="1" t="s">
        <v>87</v>
      </c>
      <c r="G565" s="5">
        <v>1500</v>
      </c>
      <c r="H565" s="5">
        <v>1500</v>
      </c>
      <c r="I565" s="5">
        <v>1500</v>
      </c>
      <c r="J565" s="4">
        <f>[1]Expense!N275</f>
        <v>665.78</v>
      </c>
      <c r="K565" s="5">
        <f>[1]Expense!I275</f>
        <v>2000</v>
      </c>
      <c r="L565" s="5">
        <f>[2]Expense!K251</f>
        <v>1588.56</v>
      </c>
      <c r="M565" s="5">
        <v>1245.29</v>
      </c>
      <c r="N565" s="5">
        <v>950.2</v>
      </c>
      <c r="O565" s="38">
        <f>(G565-K565)/K565</f>
        <v>-0.25</v>
      </c>
      <c r="P565" s="18">
        <f>G565-K565</f>
        <v>-500</v>
      </c>
    </row>
    <row r="566" spans="1:16" x14ac:dyDescent="0.25">
      <c r="A566" s="1">
        <v>14230</v>
      </c>
      <c r="B566" s="1">
        <v>56670</v>
      </c>
      <c r="C566" s="1" t="s">
        <v>42</v>
      </c>
      <c r="G566" s="5">
        <f>SUM(F567:F568)</f>
        <v>2220</v>
      </c>
      <c r="H566" s="5">
        <f>SUM(F567:F568)</f>
        <v>2220</v>
      </c>
      <c r="I566" s="5">
        <f>SUM(F567:F568)</f>
        <v>2220</v>
      </c>
      <c r="J566" s="1">
        <f>[1]Expense!N276</f>
        <v>2020</v>
      </c>
      <c r="K566" s="5">
        <f>[1]Expense!I276</f>
        <v>1980</v>
      </c>
      <c r="L566" s="5">
        <f>[2]Expense!K252</f>
        <v>1817.45</v>
      </c>
      <c r="M566" s="5">
        <v>1979.95</v>
      </c>
      <c r="N566" s="5">
        <v>2124.9499999999998</v>
      </c>
      <c r="O566" s="38">
        <f>(G566-K566)/K566</f>
        <v>0.12121212121212122</v>
      </c>
      <c r="P566" s="18">
        <f>G566-K566</f>
        <v>240</v>
      </c>
    </row>
    <row r="567" spans="1:16" x14ac:dyDescent="0.25">
      <c r="C567" s="1" t="s">
        <v>527</v>
      </c>
      <c r="D567" s="1">
        <v>12</v>
      </c>
      <c r="E567" s="1">
        <v>170</v>
      </c>
      <c r="F567" s="1">
        <f>D567*E567</f>
        <v>2040</v>
      </c>
      <c r="G567" s="19"/>
      <c r="O567" s="38"/>
      <c r="P567" s="18"/>
    </row>
    <row r="568" spans="1:16" x14ac:dyDescent="0.25">
      <c r="C568" s="1" t="s">
        <v>528</v>
      </c>
      <c r="D568" s="1">
        <v>1</v>
      </c>
      <c r="E568" s="1">
        <v>180</v>
      </c>
      <c r="F568" s="1">
        <v>180</v>
      </c>
      <c r="G568" s="19"/>
      <c r="O568" s="38"/>
      <c r="P568" s="18"/>
    </row>
    <row r="569" spans="1:16" x14ac:dyDescent="0.25">
      <c r="C569" s="43" t="s">
        <v>529</v>
      </c>
      <c r="G569" s="19"/>
      <c r="O569" s="38"/>
      <c r="P569" s="18"/>
    </row>
    <row r="570" spans="1:16" x14ac:dyDescent="0.25">
      <c r="A570" s="1">
        <v>14230</v>
      </c>
      <c r="B570" s="1">
        <v>56680</v>
      </c>
      <c r="C570" s="1" t="s">
        <v>43</v>
      </c>
      <c r="G570" s="19">
        <f>SUM(F571:F574)</f>
        <v>7130</v>
      </c>
      <c r="H570" s="19">
        <f>SUM(F571:F574)</f>
        <v>7130</v>
      </c>
      <c r="I570" s="5">
        <f>SUM(F571:F574)</f>
        <v>7130</v>
      </c>
      <c r="J570" s="1">
        <v>12962</v>
      </c>
      <c r="K570" s="5">
        <v>3980</v>
      </c>
      <c r="L570" s="5">
        <f>[2]Expense!K253</f>
        <v>11528.63</v>
      </c>
      <c r="M570" s="5">
        <v>5804.92</v>
      </c>
      <c r="N570" s="5">
        <v>10985.29</v>
      </c>
      <c r="O570" s="38">
        <f>(G570-K570)/K570</f>
        <v>0.79145728643216084</v>
      </c>
      <c r="P570" s="18">
        <f>G570-K570</f>
        <v>3150</v>
      </c>
    </row>
    <row r="571" spans="1:16" x14ac:dyDescent="0.25">
      <c r="C571" s="1" t="s">
        <v>683</v>
      </c>
      <c r="D571" s="1">
        <v>2</v>
      </c>
      <c r="E571" s="1">
        <v>2250</v>
      </c>
      <c r="F571" s="1">
        <v>4500</v>
      </c>
      <c r="G571" s="19"/>
      <c r="O571" s="38"/>
      <c r="P571" s="18"/>
    </row>
    <row r="572" spans="1:16" x14ac:dyDescent="0.25">
      <c r="C572" s="1" t="s">
        <v>530</v>
      </c>
      <c r="D572" s="1">
        <v>1</v>
      </c>
      <c r="E572" s="1">
        <v>1000</v>
      </c>
      <c r="F572" s="1">
        <f>D572*E572</f>
        <v>1000</v>
      </c>
      <c r="G572" s="19"/>
      <c r="O572" s="38"/>
      <c r="P572" s="18"/>
    </row>
    <row r="573" spans="1:16" x14ac:dyDescent="0.25">
      <c r="C573" s="1" t="s">
        <v>531</v>
      </c>
      <c r="D573" s="1">
        <v>1</v>
      </c>
      <c r="E573" s="1">
        <v>750</v>
      </c>
      <c r="F573" s="1">
        <f t="shared" ref="F573:F574" si="42">D573*E573</f>
        <v>750</v>
      </c>
      <c r="G573" s="19"/>
      <c r="O573" s="38"/>
      <c r="P573" s="18"/>
    </row>
    <row r="574" spans="1:16" x14ac:dyDescent="0.25">
      <c r="C574" s="1" t="s">
        <v>532</v>
      </c>
      <c r="D574" s="1">
        <v>4</v>
      </c>
      <c r="E574" s="1">
        <v>220</v>
      </c>
      <c r="F574" s="1">
        <f t="shared" si="42"/>
        <v>880</v>
      </c>
      <c r="G574" s="19"/>
      <c r="O574" s="38"/>
      <c r="P574" s="18"/>
    </row>
    <row r="575" spans="1:16" s="8" customFormat="1" x14ac:dyDescent="0.25">
      <c r="A575" s="8" t="s">
        <v>12</v>
      </c>
      <c r="B575" s="8" t="s">
        <v>134</v>
      </c>
      <c r="G575" s="21">
        <f t="shared" ref="G575" si="43">SUM(G449:G570)</f>
        <v>5944791</v>
      </c>
      <c r="H575" s="21">
        <f t="shared" ref="H575:N575" si="44">SUM(H449:H570)</f>
        <v>5998320</v>
      </c>
      <c r="I575" s="9">
        <f t="shared" si="44"/>
        <v>6137042</v>
      </c>
      <c r="J575" s="9">
        <f>SUM(J449:J574)</f>
        <v>5339146.5000000009</v>
      </c>
      <c r="K575" s="9">
        <f>SUM(K449:K574)</f>
        <v>5596563</v>
      </c>
      <c r="L575" s="9">
        <f t="shared" si="44"/>
        <v>4584677.2500000009</v>
      </c>
      <c r="M575" s="9">
        <f t="shared" si="44"/>
        <v>4343582.370000001</v>
      </c>
      <c r="N575" s="9">
        <f t="shared" si="44"/>
        <v>4488749</v>
      </c>
      <c r="O575" s="39">
        <f>(G575-K575)/K575</f>
        <v>6.2221760033792171E-2</v>
      </c>
      <c r="P575" s="40">
        <f>G575-K575</f>
        <v>348228</v>
      </c>
    </row>
    <row r="576" spans="1:16" x14ac:dyDescent="0.25">
      <c r="G576" s="19"/>
      <c r="L576" s="9"/>
      <c r="O576" s="38"/>
      <c r="P576" s="18"/>
    </row>
    <row r="577" spans="1:17" s="8" customFormat="1" x14ac:dyDescent="0.25">
      <c r="A577" s="8">
        <v>14235</v>
      </c>
      <c r="B577" s="8" t="s">
        <v>135</v>
      </c>
      <c r="G577" s="21"/>
      <c r="H577" s="21"/>
      <c r="I577" s="9"/>
      <c r="J577" s="4"/>
      <c r="K577" s="5"/>
      <c r="L577" s="5"/>
      <c r="M577" s="9"/>
      <c r="N577" s="9"/>
      <c r="O577" s="38"/>
      <c r="P577" s="18"/>
    </row>
    <row r="578" spans="1:17" x14ac:dyDescent="0.25">
      <c r="A578" s="1">
        <v>14235</v>
      </c>
      <c r="B578" s="1">
        <v>51200</v>
      </c>
      <c r="C578" s="1" t="s">
        <v>16</v>
      </c>
      <c r="G578" s="19">
        <v>149950</v>
      </c>
      <c r="H578" s="19">
        <v>149950</v>
      </c>
      <c r="I578" s="5">
        <v>178000</v>
      </c>
      <c r="J578" s="1">
        <f>[1]Expense!N281</f>
        <v>124837</v>
      </c>
      <c r="K578" s="5">
        <f>[1]Expense!I281</f>
        <v>136575</v>
      </c>
      <c r="L578" s="5">
        <f>[2]Expense!K257</f>
        <v>122453.21</v>
      </c>
      <c r="M578" s="5">
        <v>112961.9</v>
      </c>
      <c r="N578" s="5">
        <f>116947.06+4618.6</f>
        <v>121565.66</v>
      </c>
      <c r="O578" s="38">
        <f t="shared" ref="O578:O583" si="45">(G578-K578)/K578</f>
        <v>9.7931539447190186E-2</v>
      </c>
      <c r="P578" s="18">
        <f t="shared" ref="P578:P583" si="46">G578-K578</f>
        <v>13375</v>
      </c>
    </row>
    <row r="579" spans="1:17" x14ac:dyDescent="0.25">
      <c r="A579" s="1">
        <v>14235</v>
      </c>
      <c r="B579" s="1">
        <v>51510</v>
      </c>
      <c r="C579" s="1" t="s">
        <v>20</v>
      </c>
      <c r="G579" s="50">
        <v>434</v>
      </c>
      <c r="J579" s="1">
        <f>[1]Expense!N282</f>
        <v>0</v>
      </c>
      <c r="K579" s="5">
        <f>[1]Expense!I282</f>
        <v>0</v>
      </c>
      <c r="L579" s="5">
        <f>[2]Expense!K256</f>
        <v>0</v>
      </c>
      <c r="M579" s="5">
        <v>979.35</v>
      </c>
      <c r="N579" s="5">
        <v>388.22</v>
      </c>
      <c r="O579" s="38" t="e">
        <f>(G579-K579)/K579</f>
        <v>#DIV/0!</v>
      </c>
      <c r="P579" s="18">
        <f t="shared" si="46"/>
        <v>434</v>
      </c>
    </row>
    <row r="580" spans="1:17" x14ac:dyDescent="0.25">
      <c r="A580" s="1">
        <v>14235</v>
      </c>
      <c r="B580" s="1">
        <v>52200</v>
      </c>
      <c r="C580" s="1" t="s">
        <v>24</v>
      </c>
      <c r="G580" s="19">
        <v>11500</v>
      </c>
      <c r="H580" s="19">
        <v>11500</v>
      </c>
      <c r="I580" s="5">
        <v>13650</v>
      </c>
      <c r="J580" s="4">
        <f>[1]Expense!N283</f>
        <v>9550</v>
      </c>
      <c r="K580" s="5">
        <f>[1]Expense!I283</f>
        <v>10450</v>
      </c>
      <c r="L580" s="5">
        <f>[2]Expense!K259</f>
        <v>9367.6</v>
      </c>
      <c r="M580" s="5">
        <v>8716.39</v>
      </c>
      <c r="N580" s="5">
        <f>9121.94+31.45</f>
        <v>9153.3900000000012</v>
      </c>
      <c r="O580" s="38">
        <f t="shared" si="45"/>
        <v>0.10047846889952153</v>
      </c>
      <c r="P580" s="18">
        <f t="shared" si="46"/>
        <v>1050</v>
      </c>
    </row>
    <row r="581" spans="1:17" x14ac:dyDescent="0.25">
      <c r="A581" s="1">
        <v>14235</v>
      </c>
      <c r="B581" s="1">
        <v>52250</v>
      </c>
      <c r="C581" s="1" t="s">
        <v>26</v>
      </c>
      <c r="G581" s="19">
        <v>102</v>
      </c>
      <c r="H581" s="19">
        <v>102</v>
      </c>
      <c r="I581" s="19">
        <v>102</v>
      </c>
      <c r="J581" s="4">
        <v>81</v>
      </c>
      <c r="K581" s="5">
        <f>[1]Expense!I284</f>
        <v>81</v>
      </c>
      <c r="L581" s="5">
        <f>[2]Expense!K260</f>
        <v>89.43</v>
      </c>
      <c r="M581" s="5">
        <v>133.02000000000001</v>
      </c>
      <c r="N581" s="5">
        <v>133.02000000000001</v>
      </c>
      <c r="O581" s="38">
        <f t="shared" si="45"/>
        <v>0.25925925925925924</v>
      </c>
      <c r="P581" s="18">
        <f t="shared" si="46"/>
        <v>21</v>
      </c>
    </row>
    <row r="582" spans="1:17" x14ac:dyDescent="0.25">
      <c r="A582" s="1">
        <v>14235</v>
      </c>
      <c r="B582" s="1">
        <v>52260</v>
      </c>
      <c r="C582" s="1" t="s">
        <v>27</v>
      </c>
      <c r="G582" s="19">
        <v>257</v>
      </c>
      <c r="H582" s="19">
        <v>257</v>
      </c>
      <c r="I582" s="19">
        <v>257</v>
      </c>
      <c r="J582" s="1">
        <v>222</v>
      </c>
      <c r="K582" s="5">
        <f>[1]Expense!I285</f>
        <v>222</v>
      </c>
      <c r="L582" s="5">
        <f>[2]Expense!K261</f>
        <v>263</v>
      </c>
      <c r="M582" s="5">
        <v>523</v>
      </c>
      <c r="N582" s="5">
        <v>609</v>
      </c>
      <c r="O582" s="38">
        <f t="shared" si="45"/>
        <v>0.15765765765765766</v>
      </c>
      <c r="P582" s="18">
        <f t="shared" si="46"/>
        <v>35</v>
      </c>
      <c r="Q582" s="18">
        <f>SUM(P578:P582)</f>
        <v>14915</v>
      </c>
    </row>
    <row r="583" spans="1:17" x14ac:dyDescent="0.25">
      <c r="A583" s="1">
        <v>14235</v>
      </c>
      <c r="B583" s="1">
        <v>53410</v>
      </c>
      <c r="C583" s="1" t="s">
        <v>29</v>
      </c>
      <c r="G583" s="5">
        <v>1594</v>
      </c>
      <c r="H583" s="5">
        <v>1594</v>
      </c>
      <c r="I583" s="5">
        <v>1594</v>
      </c>
      <c r="J583" s="1">
        <f>[1]Expense!N286</f>
        <v>1572</v>
      </c>
      <c r="K583" s="5">
        <f>[1]Expense!I286</f>
        <v>1594</v>
      </c>
      <c r="L583" s="5">
        <f>[2]Expense!K262</f>
        <v>1565.56</v>
      </c>
      <c r="M583" s="5">
        <v>1636.69</v>
      </c>
      <c r="N583" s="5">
        <v>1683.9</v>
      </c>
      <c r="O583" s="38">
        <f t="shared" si="45"/>
        <v>0</v>
      </c>
      <c r="P583" s="18">
        <f t="shared" si="46"/>
        <v>0</v>
      </c>
    </row>
    <row r="584" spans="1:17" x14ac:dyDescent="0.25">
      <c r="C584" s="1" t="s">
        <v>533</v>
      </c>
      <c r="D584" s="1">
        <v>12</v>
      </c>
      <c r="E584" s="1">
        <v>8</v>
      </c>
      <c r="F584" s="1">
        <v>96</v>
      </c>
      <c r="G584" s="19"/>
      <c r="O584" s="38"/>
      <c r="P584" s="18"/>
    </row>
    <row r="585" spans="1:17" x14ac:dyDescent="0.25">
      <c r="C585" s="1" t="s">
        <v>534</v>
      </c>
      <c r="D585" s="1">
        <v>12</v>
      </c>
      <c r="E585" s="1">
        <v>75</v>
      </c>
      <c r="F585" s="1">
        <v>900</v>
      </c>
      <c r="G585" s="19"/>
      <c r="O585" s="38"/>
      <c r="P585" s="18"/>
    </row>
    <row r="586" spans="1:17" x14ac:dyDescent="0.25">
      <c r="C586" s="1" t="s">
        <v>535</v>
      </c>
      <c r="D586" s="1">
        <v>52</v>
      </c>
      <c r="E586" s="1">
        <v>11.5</v>
      </c>
      <c r="F586" s="1">
        <v>598</v>
      </c>
      <c r="G586" s="19"/>
      <c r="O586" s="38"/>
      <c r="P586" s="18"/>
    </row>
    <row r="587" spans="1:17" x14ac:dyDescent="0.25">
      <c r="A587" s="1">
        <v>14235</v>
      </c>
      <c r="B587" s="1">
        <v>53703</v>
      </c>
      <c r="C587" s="1" t="s">
        <v>136</v>
      </c>
      <c r="G587" s="5">
        <v>1739</v>
      </c>
      <c r="H587" s="5">
        <v>1739</v>
      </c>
      <c r="I587" s="5">
        <v>1739</v>
      </c>
      <c r="J587" s="4">
        <f>[1]Expense!N287</f>
        <v>0</v>
      </c>
      <c r="K587" s="5">
        <f>[1]Expense!I287</f>
        <v>1685</v>
      </c>
      <c r="L587" s="5">
        <f>[2]Expense!K263</f>
        <v>1444.99</v>
      </c>
      <c r="M587" s="5">
        <v>1211.06</v>
      </c>
      <c r="N587" s="5">
        <v>0</v>
      </c>
      <c r="O587" s="38">
        <f>(G587-K587)/K587</f>
        <v>3.2047477744807124E-2</v>
      </c>
      <c r="P587" s="18">
        <f>G587-K587</f>
        <v>54</v>
      </c>
    </row>
    <row r="588" spans="1:17" x14ac:dyDescent="0.25">
      <c r="C588" s="1" t="s">
        <v>536</v>
      </c>
      <c r="G588" s="5"/>
      <c r="H588" s="5"/>
      <c r="O588" s="38"/>
      <c r="P588" s="18"/>
    </row>
    <row r="589" spans="1:17" x14ac:dyDescent="0.25">
      <c r="C589" s="1" t="s">
        <v>537</v>
      </c>
      <c r="G589" s="5"/>
      <c r="H589" s="5"/>
      <c r="O589" s="38"/>
      <c r="P589" s="18"/>
    </row>
    <row r="590" spans="1:17" x14ac:dyDescent="0.25">
      <c r="A590" s="1">
        <v>14235</v>
      </c>
      <c r="B590" s="1">
        <v>54800</v>
      </c>
      <c r="C590" s="1" t="s">
        <v>36</v>
      </c>
      <c r="G590" s="19">
        <v>4628</v>
      </c>
      <c r="H590" s="19">
        <v>4628</v>
      </c>
      <c r="I590" s="19">
        <v>4628</v>
      </c>
      <c r="J590" s="4">
        <f>[1]Expense!N288</f>
        <v>3929.28</v>
      </c>
      <c r="K590" s="5">
        <f>[1]Expense!I288</f>
        <v>3930</v>
      </c>
      <c r="L590" s="5">
        <f>[2]Expense!K264</f>
        <v>3572.08</v>
      </c>
      <c r="M590" s="5">
        <v>3338.38</v>
      </c>
      <c r="N590" s="5">
        <v>3119.98</v>
      </c>
      <c r="O590" s="38">
        <f>(G590-K590)/K590</f>
        <v>0.17760814249363868</v>
      </c>
      <c r="P590" s="18">
        <f t="shared" ref="P590:P598" si="47">G590-K590</f>
        <v>698</v>
      </c>
    </row>
    <row r="591" spans="1:17" x14ac:dyDescent="0.25">
      <c r="A591" s="1">
        <v>14235</v>
      </c>
      <c r="B591" s="1">
        <v>56100</v>
      </c>
      <c r="C591" s="1" t="s">
        <v>71</v>
      </c>
      <c r="G591" s="5">
        <v>1775</v>
      </c>
      <c r="H591" s="5">
        <v>1775</v>
      </c>
      <c r="I591" s="5">
        <v>1775</v>
      </c>
      <c r="J591" s="1">
        <f>[1]Expense!N289</f>
        <v>807</v>
      </c>
      <c r="K591" s="5">
        <f>[1]Expense!I289</f>
        <v>1710</v>
      </c>
      <c r="L591" s="5">
        <f>[2]Expense!K265</f>
        <v>597.74</v>
      </c>
      <c r="M591" s="5">
        <v>1158.3800000000001</v>
      </c>
      <c r="N591" s="5">
        <v>1853.78</v>
      </c>
      <c r="O591" s="38">
        <f>(G591-K591)/K591</f>
        <v>3.8011695906432746E-2</v>
      </c>
      <c r="P591" s="18">
        <f t="shared" si="47"/>
        <v>65</v>
      </c>
    </row>
    <row r="592" spans="1:17" x14ac:dyDescent="0.25">
      <c r="A592" s="1">
        <v>14235</v>
      </c>
      <c r="B592" s="1">
        <v>56110</v>
      </c>
      <c r="C592" s="1" t="s">
        <v>85</v>
      </c>
      <c r="G592" s="5">
        <v>500</v>
      </c>
      <c r="H592" s="5">
        <v>500</v>
      </c>
      <c r="I592" s="5">
        <v>500</v>
      </c>
      <c r="J592" s="1">
        <f>[1]Expense!N290</f>
        <v>0</v>
      </c>
      <c r="K592" s="5">
        <f>[1]Expense!I290</f>
        <v>430</v>
      </c>
      <c r="L592" s="5">
        <f>[2]Expense!K266</f>
        <v>160</v>
      </c>
      <c r="M592" s="5">
        <v>90.44</v>
      </c>
      <c r="N592" s="5">
        <v>327.75</v>
      </c>
      <c r="O592" s="38">
        <f>(G592-K592)/K592</f>
        <v>0.16279069767441862</v>
      </c>
      <c r="P592" s="18">
        <f t="shared" si="47"/>
        <v>70</v>
      </c>
    </row>
    <row r="593" spans="1:16" x14ac:dyDescent="0.25">
      <c r="A593" s="1" t="s">
        <v>684</v>
      </c>
      <c r="B593" s="1">
        <v>56130</v>
      </c>
      <c r="C593" s="1" t="s">
        <v>235</v>
      </c>
      <c r="G593" s="19">
        <v>400</v>
      </c>
      <c r="H593" s="19">
        <v>400</v>
      </c>
      <c r="I593" s="19">
        <v>400</v>
      </c>
      <c r="J593" s="1">
        <f>[1]Expense!N291</f>
        <v>532</v>
      </c>
      <c r="K593" s="5">
        <f>[1]Expense!I291</f>
        <v>0</v>
      </c>
      <c r="O593" s="38">
        <v>0</v>
      </c>
      <c r="P593" s="18">
        <f t="shared" si="47"/>
        <v>400</v>
      </c>
    </row>
    <row r="594" spans="1:16" x14ac:dyDescent="0.25">
      <c r="A594" s="1">
        <v>14235</v>
      </c>
      <c r="B594" s="1">
        <v>56200</v>
      </c>
      <c r="C594" s="1" t="s">
        <v>40</v>
      </c>
      <c r="G594" s="5">
        <v>600</v>
      </c>
      <c r="H594" s="5">
        <v>600</v>
      </c>
      <c r="I594" s="5">
        <v>600</v>
      </c>
      <c r="J594" s="1">
        <f>[1]Expense!N292</f>
        <v>587</v>
      </c>
      <c r="K594" s="5">
        <f>[1]Expense!I292</f>
        <v>560</v>
      </c>
      <c r="L594" s="5">
        <f>[2]Expense!K267</f>
        <v>545.79</v>
      </c>
      <c r="M594" s="5">
        <v>2419.39</v>
      </c>
      <c r="N594" s="5">
        <f>298.91+69.98</f>
        <v>368.89000000000004</v>
      </c>
      <c r="O594" s="38">
        <f>(G594-K594)/K594</f>
        <v>7.1428571428571425E-2</v>
      </c>
      <c r="P594" s="18">
        <f t="shared" si="47"/>
        <v>40</v>
      </c>
    </row>
    <row r="595" spans="1:16" x14ac:dyDescent="0.25">
      <c r="A595" s="1">
        <v>14235</v>
      </c>
      <c r="B595" s="1">
        <v>56250</v>
      </c>
      <c r="C595" s="1" t="s">
        <v>41</v>
      </c>
      <c r="G595" s="5">
        <v>20</v>
      </c>
      <c r="H595" s="5">
        <v>20</v>
      </c>
      <c r="I595" s="5">
        <v>20</v>
      </c>
      <c r="J595" s="1">
        <f>[1]Expense!N293</f>
        <v>11</v>
      </c>
      <c r="K595" s="5">
        <f>[1]Expense!I293</f>
        <v>30</v>
      </c>
      <c r="L595" s="5">
        <f>[2]Expense!K268</f>
        <v>24.94</v>
      </c>
      <c r="M595" s="5">
        <v>28.41</v>
      </c>
      <c r="N595" s="5">
        <v>18.8</v>
      </c>
      <c r="O595" s="38">
        <f>(G595-K595)/K595</f>
        <v>-0.33333333333333331</v>
      </c>
      <c r="P595" s="18">
        <f t="shared" si="47"/>
        <v>-10</v>
      </c>
    </row>
    <row r="596" spans="1:16" x14ac:dyDescent="0.25">
      <c r="A596" s="1">
        <v>14235</v>
      </c>
      <c r="B596" s="1">
        <v>56350</v>
      </c>
      <c r="C596" s="1" t="s">
        <v>113</v>
      </c>
      <c r="G596" s="5">
        <v>425</v>
      </c>
      <c r="H596" s="5">
        <v>425</v>
      </c>
      <c r="I596" s="5">
        <v>425</v>
      </c>
      <c r="J596" s="1">
        <f>[1]Expense!N294</f>
        <v>308</v>
      </c>
      <c r="K596" s="5">
        <f>[1]Expense!I294</f>
        <v>400</v>
      </c>
      <c r="L596" s="5">
        <f>[2]Expense!K269</f>
        <v>170.79</v>
      </c>
      <c r="M596" s="5">
        <v>138.49</v>
      </c>
      <c r="N596" s="5">
        <v>60.2</v>
      </c>
      <c r="O596" s="38">
        <f>(G596-K596)/K596</f>
        <v>6.25E-2</v>
      </c>
      <c r="P596" s="18">
        <f t="shared" si="47"/>
        <v>25</v>
      </c>
    </row>
    <row r="597" spans="1:16" x14ac:dyDescent="0.25">
      <c r="A597" s="1">
        <v>14235</v>
      </c>
      <c r="B597" s="1">
        <v>56600</v>
      </c>
      <c r="C597" s="1" t="s">
        <v>87</v>
      </c>
      <c r="G597" s="5">
        <v>750</v>
      </c>
      <c r="H597" s="5">
        <v>750</v>
      </c>
      <c r="I597" s="5">
        <v>750</v>
      </c>
      <c r="J597" s="1">
        <v>1914</v>
      </c>
      <c r="K597" s="5">
        <v>2205</v>
      </c>
      <c r="L597" s="5">
        <f>[2]Expense!K270</f>
        <v>92.5</v>
      </c>
      <c r="M597" s="5">
        <v>952</v>
      </c>
      <c r="N597" s="5">
        <v>0</v>
      </c>
      <c r="O597" s="38">
        <f>(G597-K597)/K597</f>
        <v>-0.65986394557823125</v>
      </c>
      <c r="P597" s="18">
        <f t="shared" si="47"/>
        <v>-1455</v>
      </c>
    </row>
    <row r="598" spans="1:16" s="8" customFormat="1" x14ac:dyDescent="0.25">
      <c r="A598" s="8" t="s">
        <v>12</v>
      </c>
      <c r="B598" s="8" t="s">
        <v>137</v>
      </c>
      <c r="G598" s="21">
        <f t="shared" ref="G598" si="48">SUM(G578:G597)</f>
        <v>174674</v>
      </c>
      <c r="H598" s="21">
        <f t="shared" ref="H598:N598" si="49">SUM(H578:H597)</f>
        <v>174240</v>
      </c>
      <c r="I598" s="9">
        <f t="shared" si="49"/>
        <v>204440</v>
      </c>
      <c r="J598" s="9">
        <f>SUM(J578:J597)</f>
        <v>144350.28</v>
      </c>
      <c r="K598" s="9">
        <f>SUM(K578:K597)</f>
        <v>159872</v>
      </c>
      <c r="L598" s="9">
        <f t="shared" si="49"/>
        <v>140347.62999999998</v>
      </c>
      <c r="M598" s="9">
        <f t="shared" si="49"/>
        <v>134286.90000000002</v>
      </c>
      <c r="N598" s="9">
        <f t="shared" si="49"/>
        <v>139282.59000000003</v>
      </c>
      <c r="O598" s="39">
        <f>(G598-K598)/K598</f>
        <v>9.258656925540433E-2</v>
      </c>
      <c r="P598" s="40">
        <f t="shared" si="47"/>
        <v>14802</v>
      </c>
    </row>
    <row r="599" spans="1:16" x14ac:dyDescent="0.25">
      <c r="G599" s="19"/>
      <c r="J599" s="9"/>
      <c r="K599" s="9"/>
      <c r="L599" s="9"/>
      <c r="O599" s="38"/>
      <c r="P599" s="18"/>
    </row>
    <row r="600" spans="1:16" s="8" customFormat="1" x14ac:dyDescent="0.25">
      <c r="A600" s="8">
        <v>14441</v>
      </c>
      <c r="B600" s="8" t="s">
        <v>138</v>
      </c>
      <c r="G600" s="21"/>
      <c r="H600" s="21"/>
      <c r="I600" s="9"/>
      <c r="J600" s="1"/>
      <c r="K600" s="5"/>
      <c r="L600" s="5"/>
      <c r="M600" s="9"/>
      <c r="N600" s="9"/>
      <c r="O600" s="38"/>
      <c r="P600" s="18"/>
    </row>
    <row r="601" spans="1:16" x14ac:dyDescent="0.25">
      <c r="A601" s="1">
        <v>14441</v>
      </c>
      <c r="B601" s="1">
        <v>53500</v>
      </c>
      <c r="C601" s="1" t="s">
        <v>139</v>
      </c>
      <c r="G601" s="19">
        <v>7668417</v>
      </c>
      <c r="H601" s="19">
        <v>7668417</v>
      </c>
      <c r="I601" s="19">
        <v>7668417</v>
      </c>
      <c r="J601" s="5">
        <f>[1]Expense!$J$299</f>
        <v>7564872</v>
      </c>
      <c r="K601" s="5">
        <v>7707120</v>
      </c>
      <c r="L601" s="5">
        <f>[2]Expense!K274</f>
        <v>7509312</v>
      </c>
      <c r="M601" s="5">
        <v>7319245</v>
      </c>
      <c r="N601" s="5">
        <v>10133527</v>
      </c>
      <c r="O601" s="38">
        <f>(G601-K601)/K601</f>
        <v>-5.0217201756298071E-3</v>
      </c>
      <c r="P601" s="18">
        <f>G601-K601</f>
        <v>-38703</v>
      </c>
    </row>
    <row r="602" spans="1:16" x14ac:dyDescent="0.25">
      <c r="C602" s="1" t="s">
        <v>666</v>
      </c>
      <c r="G602" s="19"/>
      <c r="J602" s="5"/>
      <c r="O602" s="38"/>
      <c r="P602" s="18"/>
    </row>
    <row r="603" spans="1:16" x14ac:dyDescent="0.25">
      <c r="A603" s="1">
        <v>14441</v>
      </c>
      <c r="B603" s="1">
        <v>53560</v>
      </c>
      <c r="C603" s="1" t="s">
        <v>140</v>
      </c>
      <c r="G603" s="19"/>
      <c r="L603" s="9"/>
      <c r="M603" s="5">
        <v>0</v>
      </c>
      <c r="N603" s="5">
        <v>293752</v>
      </c>
      <c r="O603" s="38"/>
      <c r="P603" s="18"/>
    </row>
    <row r="604" spans="1:16" s="8" customFormat="1" x14ac:dyDescent="0.25">
      <c r="A604" s="8" t="s">
        <v>12</v>
      </c>
      <c r="B604" s="8" t="s">
        <v>141</v>
      </c>
      <c r="G604" s="21">
        <f t="shared" ref="G604" si="50">SUM(G601)</f>
        <v>7668417</v>
      </c>
      <c r="H604" s="21">
        <f t="shared" ref="H604:L604" si="51">SUM(H601)</f>
        <v>7668417</v>
      </c>
      <c r="I604" s="9">
        <f t="shared" si="51"/>
        <v>7668417</v>
      </c>
      <c r="J604" s="9">
        <f t="shared" si="51"/>
        <v>7564872</v>
      </c>
      <c r="K604" s="9">
        <f t="shared" si="51"/>
        <v>7707120</v>
      </c>
      <c r="L604" s="9">
        <f t="shared" si="51"/>
        <v>7509312</v>
      </c>
      <c r="M604" s="9">
        <f>SUM(M601:M603)</f>
        <v>7319245</v>
      </c>
      <c r="N604" s="9">
        <f>SUM(N601:N603)</f>
        <v>10427279</v>
      </c>
      <c r="O604" s="39">
        <f>(G604-K604)/K604</f>
        <v>-5.0217201756298071E-3</v>
      </c>
      <c r="P604" s="40">
        <f>G604-K604</f>
        <v>-38703</v>
      </c>
    </row>
    <row r="605" spans="1:16" x14ac:dyDescent="0.25">
      <c r="G605" s="19"/>
      <c r="O605" s="38"/>
      <c r="P605" s="18"/>
    </row>
    <row r="606" spans="1:16" x14ac:dyDescent="0.25">
      <c r="A606" s="1">
        <v>14610</v>
      </c>
      <c r="B606" s="1">
        <v>55010</v>
      </c>
      <c r="C606" s="1" t="s">
        <v>142</v>
      </c>
      <c r="G606" s="65">
        <v>165000</v>
      </c>
      <c r="H606" s="5">
        <v>169125</v>
      </c>
      <c r="I606" s="5">
        <v>169125</v>
      </c>
      <c r="J606" s="1">
        <f>[1]Expense!N302</f>
        <v>165000</v>
      </c>
      <c r="K606" s="5">
        <f>[1]Expense!I302</f>
        <v>165000</v>
      </c>
      <c r="L606" s="5">
        <f>[2]Expense!K277</f>
        <v>159097</v>
      </c>
      <c r="M606" s="5">
        <v>164610.96</v>
      </c>
      <c r="N606" s="5">
        <v>161700</v>
      </c>
      <c r="O606" s="38">
        <f t="shared" ref="O606:O611" si="52">(G606-K606)/K606</f>
        <v>0</v>
      </c>
      <c r="P606" s="18">
        <f t="shared" ref="P606:P611" si="53">G606-K606</f>
        <v>0</v>
      </c>
    </row>
    <row r="607" spans="1:16" x14ac:dyDescent="0.25">
      <c r="A607" s="1">
        <v>14619</v>
      </c>
      <c r="B607" s="1">
        <v>55020</v>
      </c>
      <c r="C607" s="1" t="s">
        <v>143</v>
      </c>
      <c r="G607" s="65">
        <v>50000</v>
      </c>
      <c r="H607" s="5">
        <v>54000</v>
      </c>
      <c r="I607" s="5">
        <v>54000</v>
      </c>
      <c r="J607" s="1">
        <f>[1]Expense!N303</f>
        <v>50000</v>
      </c>
      <c r="K607" s="5">
        <f>[1]Expense!I303</f>
        <v>50000</v>
      </c>
      <c r="L607" s="5">
        <f>[2]Expense!K278</f>
        <v>50000</v>
      </c>
      <c r="M607" s="5">
        <v>50000</v>
      </c>
      <c r="N607" s="5">
        <v>60000</v>
      </c>
      <c r="O607" s="38">
        <f t="shared" si="52"/>
        <v>0</v>
      </c>
      <c r="P607" s="18">
        <f t="shared" si="53"/>
        <v>0</v>
      </c>
    </row>
    <row r="608" spans="1:16" x14ac:dyDescent="0.25">
      <c r="A608" s="1">
        <v>14660</v>
      </c>
      <c r="B608" s="1">
        <v>55025</v>
      </c>
      <c r="C608" s="1" t="s">
        <v>144</v>
      </c>
      <c r="G608" s="5">
        <v>32000</v>
      </c>
      <c r="H608" s="5">
        <v>32000</v>
      </c>
      <c r="I608" s="5">
        <v>32000</v>
      </c>
      <c r="J608" s="1">
        <f>[1]Expense!N304</f>
        <v>32000</v>
      </c>
      <c r="K608" s="5">
        <f>[1]Expense!I304</f>
        <v>32000</v>
      </c>
      <c r="M608" s="5">
        <v>0</v>
      </c>
      <c r="N608" s="5">
        <v>0</v>
      </c>
      <c r="O608" s="38">
        <f>(G608-K608)/K608</f>
        <v>0</v>
      </c>
      <c r="P608" s="18">
        <f t="shared" si="53"/>
        <v>0</v>
      </c>
    </row>
    <row r="609" spans="1:16" x14ac:dyDescent="0.25">
      <c r="A609" s="1">
        <v>14660</v>
      </c>
      <c r="B609" s="1">
        <v>55030</v>
      </c>
      <c r="C609" s="1" t="s">
        <v>145</v>
      </c>
      <c r="G609" s="5">
        <v>56000</v>
      </c>
      <c r="H609" s="5">
        <v>56000</v>
      </c>
      <c r="I609" s="5">
        <v>56000</v>
      </c>
      <c r="J609" s="1">
        <v>56000</v>
      </c>
      <c r="K609" s="5">
        <v>56000</v>
      </c>
      <c r="L609" s="5">
        <f>[2]Expense!K279</f>
        <v>56000</v>
      </c>
      <c r="M609" s="5">
        <v>47905</v>
      </c>
      <c r="N609" s="5">
        <v>56000</v>
      </c>
      <c r="O609" s="38">
        <f t="shared" si="52"/>
        <v>0</v>
      </c>
      <c r="P609" s="18">
        <f t="shared" si="53"/>
        <v>0</v>
      </c>
    </row>
    <row r="610" spans="1:16" x14ac:dyDescent="0.25">
      <c r="A610" s="44">
        <v>14660</v>
      </c>
      <c r="B610" s="1">
        <v>55031</v>
      </c>
      <c r="C610" s="1" t="s">
        <v>229</v>
      </c>
      <c r="G610" s="65">
        <v>7500</v>
      </c>
      <c r="H610" s="5">
        <v>10000</v>
      </c>
      <c r="I610" s="5">
        <v>10000</v>
      </c>
      <c r="O610" s="38" t="e">
        <f t="shared" si="52"/>
        <v>#DIV/0!</v>
      </c>
      <c r="P610" s="18">
        <f t="shared" si="53"/>
        <v>7500</v>
      </c>
    </row>
    <row r="611" spans="1:16" s="8" customFormat="1" x14ac:dyDescent="0.25">
      <c r="A611" s="8" t="s">
        <v>12</v>
      </c>
      <c r="B611" s="8" t="s">
        <v>146</v>
      </c>
      <c r="G611" s="21">
        <f>SUM(G606:G610)</f>
        <v>310500</v>
      </c>
      <c r="H611" s="21">
        <f>SUM(H606:H610)</f>
        <v>321125</v>
      </c>
      <c r="I611" s="9">
        <f t="shared" ref="I611:N611" si="54">SUM(I606:I610)</f>
        <v>321125</v>
      </c>
      <c r="J611" s="9">
        <f>SUM(J606:J610)</f>
        <v>303000</v>
      </c>
      <c r="K611" s="9">
        <f>SUM(K606:K610)</f>
        <v>303000</v>
      </c>
      <c r="L611" s="9">
        <f t="shared" si="54"/>
        <v>265097</v>
      </c>
      <c r="M611" s="9">
        <f t="shared" si="54"/>
        <v>262515.95999999996</v>
      </c>
      <c r="N611" s="9">
        <f t="shared" si="54"/>
        <v>277700</v>
      </c>
      <c r="O611" s="39">
        <f t="shared" si="52"/>
        <v>2.4752475247524754E-2</v>
      </c>
      <c r="P611" s="40">
        <f t="shared" si="53"/>
        <v>7500</v>
      </c>
    </row>
    <row r="612" spans="1:16" x14ac:dyDescent="0.25">
      <c r="G612" s="19"/>
      <c r="L612" s="9"/>
      <c r="O612" s="38"/>
      <c r="P612" s="18"/>
    </row>
    <row r="613" spans="1:16" s="8" customFormat="1" x14ac:dyDescent="0.25">
      <c r="A613" s="8">
        <v>14700</v>
      </c>
      <c r="B613" s="8" t="s">
        <v>147</v>
      </c>
      <c r="G613" s="21"/>
      <c r="H613" s="21"/>
      <c r="I613" s="9"/>
      <c r="J613" s="5">
        <f>[1]Expense!N308</f>
        <v>0</v>
      </c>
      <c r="K613" s="5">
        <f>[1]Expense!I308</f>
        <v>0</v>
      </c>
      <c r="L613" s="5"/>
      <c r="M613" s="9"/>
      <c r="N613" s="9"/>
      <c r="O613" s="38"/>
      <c r="P613" s="18"/>
    </row>
    <row r="614" spans="1:16" x14ac:dyDescent="0.25">
      <c r="A614" s="1">
        <v>14700</v>
      </c>
      <c r="B614" s="1">
        <v>53902</v>
      </c>
      <c r="C614" s="1" t="s">
        <v>148</v>
      </c>
      <c r="F614" s="52">
        <v>8500</v>
      </c>
      <c r="G614" s="19">
        <v>9500</v>
      </c>
      <c r="H614" s="5">
        <v>9500</v>
      </c>
      <c r="I614" s="5">
        <v>9500</v>
      </c>
      <c r="J614" s="5">
        <f>[1]Expense!N309</f>
        <v>8100</v>
      </c>
      <c r="K614" s="5">
        <f>[1]Expense!I309</f>
        <v>9000</v>
      </c>
      <c r="L614" s="5">
        <f>[2]Expense!K283</f>
        <v>6900</v>
      </c>
      <c r="M614" s="5">
        <v>13350</v>
      </c>
      <c r="N614" s="5">
        <v>0</v>
      </c>
      <c r="O614" s="38">
        <f>(G614-K614)/K614</f>
        <v>5.5555555555555552E-2</v>
      </c>
      <c r="P614" s="18">
        <f>G614-K614</f>
        <v>500</v>
      </c>
    </row>
    <row r="615" spans="1:16" x14ac:dyDescent="0.25">
      <c r="A615" s="1">
        <v>14700</v>
      </c>
      <c r="B615" s="1">
        <v>59800</v>
      </c>
      <c r="C615" s="1" t="s">
        <v>149</v>
      </c>
      <c r="G615" s="5">
        <v>204895</v>
      </c>
      <c r="H615" s="5">
        <v>204895</v>
      </c>
      <c r="I615" s="5">
        <v>204895</v>
      </c>
      <c r="J615" s="5">
        <f>[1]Expense!N310</f>
        <v>195365</v>
      </c>
      <c r="K615" s="5">
        <f>[1]Expense!I310</f>
        <v>195365</v>
      </c>
      <c r="L615" s="5">
        <f>[2]Expense!K284</f>
        <v>185835</v>
      </c>
      <c r="M615" s="5">
        <v>176305</v>
      </c>
      <c r="N615" s="5">
        <v>166775</v>
      </c>
      <c r="O615" s="38">
        <f t="shared" ref="O615:O620" si="55">(G615-K615)/K615</f>
        <v>4.878048780487805E-2</v>
      </c>
      <c r="P615" s="18">
        <f t="shared" ref="P615:P620" si="56">G615-K615</f>
        <v>9530</v>
      </c>
    </row>
    <row r="616" spans="1:16" x14ac:dyDescent="0.25">
      <c r="C616" s="1" t="s">
        <v>538</v>
      </c>
      <c r="G616" s="5"/>
      <c r="H616" s="5"/>
      <c r="O616" s="38"/>
      <c r="P616" s="18"/>
    </row>
    <row r="617" spans="1:16" x14ac:dyDescent="0.25">
      <c r="A617" s="1">
        <v>14700</v>
      </c>
      <c r="B617" s="1">
        <v>59810</v>
      </c>
      <c r="C617" s="1" t="s">
        <v>150</v>
      </c>
      <c r="G617" s="5">
        <v>488369</v>
      </c>
      <c r="H617" s="5">
        <v>488369</v>
      </c>
      <c r="I617" s="5">
        <v>488369</v>
      </c>
      <c r="J617" s="5">
        <v>442493</v>
      </c>
      <c r="K617" s="5">
        <v>442961</v>
      </c>
      <c r="L617" s="5">
        <f>[2]Expense!K285</f>
        <v>283564.63</v>
      </c>
      <c r="M617" s="5">
        <v>289555.11</v>
      </c>
      <c r="N617" s="5">
        <v>325522.96000000002</v>
      </c>
      <c r="O617" s="38">
        <f t="shared" si="55"/>
        <v>0.1025101532640571</v>
      </c>
      <c r="P617" s="18">
        <f t="shared" si="56"/>
        <v>45408</v>
      </c>
    </row>
    <row r="618" spans="1:16" x14ac:dyDescent="0.25">
      <c r="C618" s="1" t="s">
        <v>539</v>
      </c>
      <c r="F618" s="1">
        <v>251998</v>
      </c>
      <c r="G618" s="19"/>
      <c r="J618" s="5"/>
      <c r="O618" s="38"/>
      <c r="P618" s="18"/>
    </row>
    <row r="619" spans="1:16" x14ac:dyDescent="0.25">
      <c r="C619" s="1" t="s">
        <v>544</v>
      </c>
      <c r="F619" s="1">
        <v>236371</v>
      </c>
      <c r="G619" s="19"/>
      <c r="J619" s="5"/>
      <c r="O619" s="38"/>
      <c r="P619" s="18"/>
    </row>
    <row r="620" spans="1:16" s="8" customFormat="1" x14ac:dyDescent="0.25">
      <c r="A620" s="8" t="s">
        <v>12</v>
      </c>
      <c r="B620" s="8" t="s">
        <v>151</v>
      </c>
      <c r="G620" s="21">
        <f t="shared" ref="G620" si="57">SUM(G614:G617)</f>
        <v>702764</v>
      </c>
      <c r="H620" s="21">
        <f t="shared" ref="H620:I620" si="58">SUM(H614:H617)</f>
        <v>702764</v>
      </c>
      <c r="I620" s="9">
        <f t="shared" si="58"/>
        <v>702764</v>
      </c>
      <c r="J620" s="9">
        <f>SUM(J613:J619)</f>
        <v>645958</v>
      </c>
      <c r="K620" s="9">
        <f>SUM(K613:K619)</f>
        <v>647326</v>
      </c>
      <c r="L620" s="9">
        <f>SUM(L613:L619)</f>
        <v>476299.63</v>
      </c>
      <c r="M620" s="9">
        <f>SUM(M614:M617)</f>
        <v>479210.11</v>
      </c>
      <c r="N620" s="9">
        <f>SUM(N614:N617)</f>
        <v>492297.96</v>
      </c>
      <c r="O620" s="38">
        <f t="shared" si="55"/>
        <v>8.5641546917627279E-2</v>
      </c>
      <c r="P620" s="18">
        <f t="shared" si="56"/>
        <v>55438</v>
      </c>
    </row>
    <row r="621" spans="1:16" x14ac:dyDescent="0.25">
      <c r="G621" s="19"/>
      <c r="L621" s="9"/>
      <c r="O621" s="38"/>
      <c r="P621" s="18"/>
    </row>
    <row r="622" spans="1:16" s="8" customFormat="1" x14ac:dyDescent="0.25">
      <c r="A622" s="8">
        <v>14900</v>
      </c>
      <c r="B622" s="8" t="s">
        <v>152</v>
      </c>
      <c r="G622" s="21"/>
      <c r="H622" s="21"/>
      <c r="I622" s="9"/>
      <c r="J622" s="1"/>
      <c r="K622" s="5"/>
      <c r="L622" s="5"/>
      <c r="M622" s="9"/>
      <c r="N622" s="9"/>
      <c r="O622" s="38"/>
      <c r="P622" s="18"/>
    </row>
    <row r="623" spans="1:16" x14ac:dyDescent="0.25">
      <c r="A623" s="1">
        <v>14900</v>
      </c>
      <c r="B623" s="1">
        <v>57000</v>
      </c>
      <c r="C623" s="1" t="s">
        <v>153</v>
      </c>
      <c r="G623" s="19">
        <f>F624+F625</f>
        <v>205000</v>
      </c>
      <c r="H623" s="19">
        <v>55000</v>
      </c>
      <c r="I623" s="5">
        <v>55000</v>
      </c>
      <c r="J623" s="8"/>
      <c r="L623" s="5">
        <f>[2]Expense!K289</f>
        <v>211105</v>
      </c>
      <c r="M623" s="5">
        <v>335762.52</v>
      </c>
      <c r="N623" s="5">
        <v>151247</v>
      </c>
      <c r="O623" s="38">
        <v>0</v>
      </c>
      <c r="P623" s="18">
        <f>G623-K623</f>
        <v>205000</v>
      </c>
    </row>
    <row r="624" spans="1:16" x14ac:dyDescent="0.25">
      <c r="C624" s="1" t="s">
        <v>540</v>
      </c>
      <c r="F624" s="1">
        <v>55000</v>
      </c>
      <c r="G624" s="19"/>
      <c r="J624" s="8"/>
      <c r="O624" s="38"/>
      <c r="P624" s="18"/>
    </row>
    <row r="625" spans="1:16" x14ac:dyDescent="0.25">
      <c r="C625" s="61" t="s">
        <v>715</v>
      </c>
      <c r="D625" s="61"/>
      <c r="E625" s="61"/>
      <c r="F625" s="61">
        <v>150000</v>
      </c>
      <c r="G625" s="59"/>
      <c r="H625" s="59">
        <v>150000</v>
      </c>
      <c r="J625" s="8"/>
      <c r="O625" s="38"/>
      <c r="P625" s="18"/>
    </row>
    <row r="626" spans="1:16" s="8" customFormat="1" x14ac:dyDescent="0.25">
      <c r="A626" s="8" t="s">
        <v>12</v>
      </c>
      <c r="B626" s="8" t="s">
        <v>154</v>
      </c>
      <c r="G626" s="21">
        <f>SUM(G623:G625)</f>
        <v>205000</v>
      </c>
      <c r="H626" s="21">
        <f>SUM(H623:H625)</f>
        <v>205000</v>
      </c>
      <c r="I626" s="9">
        <f t="shared" ref="I626:N626" si="59">SUM(I623:I623)</f>
        <v>55000</v>
      </c>
      <c r="J626" s="9">
        <f t="shared" si="59"/>
        <v>0</v>
      </c>
      <c r="K626" s="9">
        <f t="shared" si="59"/>
        <v>0</v>
      </c>
      <c r="L626" s="9">
        <f>SUM(L623:L623)</f>
        <v>211105</v>
      </c>
      <c r="M626" s="9">
        <f t="shared" si="59"/>
        <v>335762.52</v>
      </c>
      <c r="N626" s="9">
        <f t="shared" si="59"/>
        <v>151247</v>
      </c>
      <c r="O626" s="39">
        <v>0</v>
      </c>
      <c r="P626" s="40">
        <f>G626-K626</f>
        <v>205000</v>
      </c>
    </row>
    <row r="627" spans="1:16" s="8" customFormat="1" x14ac:dyDescent="0.25">
      <c r="A627" s="8" t="s">
        <v>12</v>
      </c>
      <c r="B627" s="8" t="s">
        <v>155</v>
      </c>
      <c r="G627" s="21">
        <f>G626+G620+G611+G604+G598+G575+G446+G317+G313+G218+G177+G145+G101+G51+G11</f>
        <v>22124938</v>
      </c>
      <c r="H627" s="21">
        <f t="shared" ref="H627:N627" si="60">H626+H620+H611+H604+H598+H575+H446+H317+H313+H218+H177+H145+H101+H51+H11</f>
        <v>22468511</v>
      </c>
      <c r="I627" s="9">
        <f t="shared" si="60"/>
        <v>22560732</v>
      </c>
      <c r="J627" s="9">
        <f>J626+J620+J611+J604+J598+J575+J446+J317+J313+J218+J177+J145+J101+J51+J11</f>
        <v>20081403.789999999</v>
      </c>
      <c r="K627" s="9">
        <f>K626+K620+K611+K604+K598+K575+K446+K317+K313+K218+K177+K145+K101+K51+K11</f>
        <v>21040939.170000002</v>
      </c>
      <c r="L627" s="9">
        <f t="shared" si="60"/>
        <v>18478107.32</v>
      </c>
      <c r="M627" s="9">
        <f t="shared" si="60"/>
        <v>18081155.580000002</v>
      </c>
      <c r="N627" s="9">
        <f t="shared" si="60"/>
        <v>21044386</v>
      </c>
      <c r="O627" s="39">
        <f>(G627-K627)/K627</f>
        <v>5.1518557286908316E-2</v>
      </c>
      <c r="P627" s="40">
        <f>G627-K627</f>
        <v>1083998.8299999982</v>
      </c>
    </row>
    <row r="628" spans="1:16" s="8" customFormat="1" x14ac:dyDescent="0.25">
      <c r="G628" s="21"/>
      <c r="H628" s="21"/>
      <c r="I628" s="9"/>
      <c r="J628" s="1"/>
      <c r="K628" s="9"/>
      <c r="L628" s="9"/>
      <c r="M628" s="9"/>
      <c r="N628" s="9"/>
      <c r="O628" s="38"/>
      <c r="P628" s="18"/>
    </row>
    <row r="629" spans="1:16" x14ac:dyDescent="0.25">
      <c r="A629" s="8" t="s">
        <v>156</v>
      </c>
      <c r="G629" s="19"/>
      <c r="J629" s="8"/>
      <c r="L629" s="9"/>
      <c r="O629" s="38"/>
      <c r="P629" s="18"/>
    </row>
    <row r="630" spans="1:16" s="8" customFormat="1" x14ac:dyDescent="0.25">
      <c r="A630" s="8">
        <v>24700</v>
      </c>
      <c r="B630" s="8" t="s">
        <v>157</v>
      </c>
      <c r="G630" s="21"/>
      <c r="H630" s="21"/>
      <c r="I630" s="9"/>
      <c r="K630" s="5"/>
      <c r="L630" s="5"/>
      <c r="M630" s="9"/>
      <c r="N630" s="9"/>
      <c r="O630" s="38"/>
      <c r="P630" s="18"/>
    </row>
    <row r="631" spans="1:16" x14ac:dyDescent="0.25">
      <c r="A631" s="1">
        <v>24700</v>
      </c>
      <c r="B631" s="1">
        <v>53902</v>
      </c>
      <c r="C631" s="1" t="s">
        <v>148</v>
      </c>
      <c r="G631" s="5">
        <v>5500</v>
      </c>
      <c r="H631" s="5">
        <v>5500</v>
      </c>
      <c r="I631" s="5">
        <v>5500</v>
      </c>
      <c r="J631" s="5">
        <f>[1]Expense!N321</f>
        <v>5400</v>
      </c>
      <c r="K631" s="5">
        <f>[1]Expense!I321</f>
        <v>5500</v>
      </c>
      <c r="L631" s="5">
        <f>[2]Expense!K297</f>
        <v>4600</v>
      </c>
      <c r="M631" s="5">
        <v>5400</v>
      </c>
      <c r="N631" s="5">
        <v>0</v>
      </c>
      <c r="O631" s="38">
        <f>(G631-K631)/K631</f>
        <v>0</v>
      </c>
      <c r="P631" s="18">
        <f>G631-K631</f>
        <v>0</v>
      </c>
    </row>
    <row r="632" spans="1:16" x14ac:dyDescent="0.25">
      <c r="A632" s="1">
        <v>24700</v>
      </c>
      <c r="B632" s="1">
        <v>59800</v>
      </c>
      <c r="C632" s="1" t="s">
        <v>149</v>
      </c>
      <c r="G632" s="5">
        <v>10105</v>
      </c>
      <c r="H632" s="5">
        <v>10105</v>
      </c>
      <c r="I632" s="5">
        <v>10105</v>
      </c>
      <c r="J632" s="5">
        <f>[1]Expense!N322</f>
        <v>9635</v>
      </c>
      <c r="K632" s="5">
        <f>[1]Expense!I322</f>
        <v>9635</v>
      </c>
      <c r="L632" s="5">
        <f>[2]Expense!K298</f>
        <v>9165</v>
      </c>
      <c r="M632" s="5">
        <v>8695</v>
      </c>
      <c r="N632" s="5">
        <v>8225</v>
      </c>
      <c r="O632" s="38">
        <f>(G632-K632)/K632</f>
        <v>4.878048780487805E-2</v>
      </c>
      <c r="P632" s="18">
        <f>G632-K632</f>
        <v>470</v>
      </c>
    </row>
    <row r="633" spans="1:16" x14ac:dyDescent="0.25">
      <c r="C633" s="1" t="s">
        <v>541</v>
      </c>
      <c r="G633" s="5"/>
      <c r="H633" s="5"/>
      <c r="J633" s="5"/>
      <c r="O633" s="38"/>
      <c r="P633" s="18"/>
    </row>
    <row r="634" spans="1:16" x14ac:dyDescent="0.25">
      <c r="A634" s="1">
        <v>24700</v>
      </c>
      <c r="B634" s="1">
        <v>59810</v>
      </c>
      <c r="C634" s="1" t="s">
        <v>150</v>
      </c>
      <c r="G634" s="5">
        <v>170010</v>
      </c>
      <c r="H634" s="5">
        <v>170010</v>
      </c>
      <c r="I634" s="5">
        <v>170010</v>
      </c>
      <c r="J634" s="5">
        <f>[1]Expense!N323</f>
        <v>133274.12</v>
      </c>
      <c r="K634" s="5">
        <f>[1]Expense!I323</f>
        <v>120390</v>
      </c>
      <c r="L634" s="5">
        <f>[2]Expense!K299</f>
        <v>21797.870000000003</v>
      </c>
      <c r="M634" s="5">
        <v>19913.77</v>
      </c>
      <c r="N634" s="5">
        <v>38641.480000000003</v>
      </c>
      <c r="O634" s="38">
        <f>(G634-K634)/K634</f>
        <v>0.4121604784450536</v>
      </c>
      <c r="P634" s="18">
        <f>G634-K634</f>
        <v>49620</v>
      </c>
    </row>
    <row r="635" spans="1:16" x14ac:dyDescent="0.25">
      <c r="C635" s="1" t="s">
        <v>542</v>
      </c>
      <c r="F635" s="1">
        <v>12428</v>
      </c>
      <c r="G635" s="19"/>
      <c r="J635" s="5"/>
      <c r="O635" s="38"/>
      <c r="P635" s="18"/>
    </row>
    <row r="636" spans="1:16" x14ac:dyDescent="0.25">
      <c r="C636" s="1" t="s">
        <v>543</v>
      </c>
      <c r="F636" s="1">
        <v>157582</v>
      </c>
      <c r="G636" s="19"/>
      <c r="J636" s="5"/>
      <c r="O636" s="38"/>
      <c r="P636" s="18"/>
    </row>
    <row r="637" spans="1:16" s="8" customFormat="1" x14ac:dyDescent="0.25">
      <c r="A637" s="8" t="s">
        <v>12</v>
      </c>
      <c r="B637" s="8" t="s">
        <v>158</v>
      </c>
      <c r="G637" s="21">
        <f>SUM(G631:G634)</f>
        <v>185615</v>
      </c>
      <c r="H637" s="21">
        <f>SUM(H631:H634)</f>
        <v>185615</v>
      </c>
      <c r="I637" s="21">
        <f t="shared" ref="I637:K637" si="61">SUM(I631:I634)</f>
        <v>185615</v>
      </c>
      <c r="J637" s="21">
        <f t="shared" si="61"/>
        <v>148309.12</v>
      </c>
      <c r="K637" s="21">
        <f t="shared" si="61"/>
        <v>135525</v>
      </c>
      <c r="L637" s="9">
        <f>SUM(L631:L634)</f>
        <v>35562.870000000003</v>
      </c>
      <c r="M637" s="9">
        <f t="shared" ref="M637:N637" si="62">SUM(M631:M634)</f>
        <v>34008.770000000004</v>
      </c>
      <c r="N637" s="9">
        <f t="shared" si="62"/>
        <v>46866.48</v>
      </c>
      <c r="O637" s="39">
        <f>(G637-K637)/K637</f>
        <v>0.3695997048515034</v>
      </c>
      <c r="P637" s="40">
        <f>G637-K637</f>
        <v>50090</v>
      </c>
    </row>
    <row r="638" spans="1:16" x14ac:dyDescent="0.25">
      <c r="G638" s="19"/>
      <c r="J638" s="5"/>
      <c r="L638" s="9"/>
      <c r="O638" s="39"/>
      <c r="P638" s="40"/>
    </row>
    <row r="639" spans="1:16" s="8" customFormat="1" x14ac:dyDescent="0.25">
      <c r="A639" s="8">
        <v>25100</v>
      </c>
      <c r="B639" s="8" t="s">
        <v>159</v>
      </c>
      <c r="G639" s="21"/>
      <c r="H639" s="21"/>
      <c r="I639" s="9"/>
      <c r="J639" s="5"/>
      <c r="K639" s="5"/>
      <c r="L639" s="5"/>
      <c r="M639" s="9"/>
      <c r="N639" s="9"/>
      <c r="O639" s="39"/>
      <c r="P639" s="40"/>
    </row>
    <row r="640" spans="1:16" x14ac:dyDescent="0.25">
      <c r="A640" s="1">
        <v>25100</v>
      </c>
      <c r="B640" s="1">
        <v>51100</v>
      </c>
      <c r="C640" s="1" t="s">
        <v>15</v>
      </c>
      <c r="G640" s="5">
        <f>SUM(F641:F642)</f>
        <v>621750</v>
      </c>
      <c r="H640" s="5">
        <f>SUM(F641:F642)</f>
        <v>621750</v>
      </c>
      <c r="I640" s="5">
        <v>621750</v>
      </c>
      <c r="J640" s="5">
        <f>[1]Expense!N327</f>
        <v>560326</v>
      </c>
      <c r="K640" s="5">
        <f>[1]Expense!I327</f>
        <v>562100</v>
      </c>
      <c r="L640" s="5">
        <f>[2]Expense!K303</f>
        <v>540180.68000000005</v>
      </c>
      <c r="M640" s="5">
        <f>494348.84+700</f>
        <v>495048.84</v>
      </c>
      <c r="N640" s="5">
        <f>484789.74+4965</f>
        <v>489754.74</v>
      </c>
      <c r="O640" s="38">
        <f>(G640-K640)/K640</f>
        <v>0.1061199074897705</v>
      </c>
      <c r="P640" s="18">
        <f>G640-K640</f>
        <v>59650</v>
      </c>
    </row>
    <row r="641" spans="1:16" x14ac:dyDescent="0.25">
      <c r="C641" s="1" t="s">
        <v>668</v>
      </c>
      <c r="F641" s="18">
        <v>598524</v>
      </c>
      <c r="G641" s="5"/>
      <c r="H641" s="5"/>
      <c r="O641" s="38"/>
      <c r="P641" s="18"/>
    </row>
    <row r="642" spans="1:16" x14ac:dyDescent="0.25">
      <c r="C642" s="1" t="s">
        <v>674</v>
      </c>
      <c r="F642" s="5">
        <v>23226</v>
      </c>
      <c r="G642" s="5"/>
      <c r="H642" s="5"/>
      <c r="O642" s="38"/>
      <c r="P642" s="18"/>
    </row>
    <row r="643" spans="1:16" x14ac:dyDescent="0.25">
      <c r="A643" s="1">
        <v>25100</v>
      </c>
      <c r="B643" s="1">
        <v>51200</v>
      </c>
      <c r="C643" s="1" t="s">
        <v>16</v>
      </c>
      <c r="G643" s="5">
        <v>44200</v>
      </c>
      <c r="H643" s="5">
        <v>44200</v>
      </c>
      <c r="I643" s="5">
        <v>44200</v>
      </c>
      <c r="J643" s="5">
        <f>[1]Expense!N328</f>
        <v>50915</v>
      </c>
      <c r="K643" s="5">
        <f>[1]Expense!I328</f>
        <v>41850</v>
      </c>
      <c r="L643" s="5">
        <f>[2]Expense!K304</f>
        <v>45434.51</v>
      </c>
      <c r="M643" s="5">
        <f>33188.95+250</f>
        <v>33438.949999999997</v>
      </c>
      <c r="N643" s="5">
        <f>36302.74+150</f>
        <v>36452.74</v>
      </c>
      <c r="O643" s="38">
        <f>(G643-K643)/K643</f>
        <v>5.6152927120669056E-2</v>
      </c>
      <c r="P643" s="18">
        <f>G643-K643</f>
        <v>2350</v>
      </c>
    </row>
    <row r="644" spans="1:16" x14ac:dyDescent="0.25">
      <c r="A644" s="1">
        <v>25100</v>
      </c>
      <c r="B644" s="1">
        <v>51400</v>
      </c>
      <c r="C644" s="1" t="s">
        <v>18</v>
      </c>
      <c r="G644" s="5">
        <v>1500</v>
      </c>
      <c r="H644" s="5">
        <v>1500</v>
      </c>
      <c r="I644" s="5">
        <v>1500</v>
      </c>
      <c r="J644" s="5">
        <f>[1]Expense!N329</f>
        <v>1352</v>
      </c>
      <c r="K644" s="5">
        <f>[1]Expense!I329</f>
        <v>1000</v>
      </c>
      <c r="L644" s="5">
        <f>[2]Expense!K305</f>
        <v>1595.78</v>
      </c>
      <c r="M644" s="5">
        <v>72.459999999999994</v>
      </c>
      <c r="N644" s="5">
        <v>605.80999999999995</v>
      </c>
      <c r="O644" s="38">
        <f>(G644-K644)/K644</f>
        <v>0.5</v>
      </c>
      <c r="P644" s="18">
        <f>G644-K644</f>
        <v>500</v>
      </c>
    </row>
    <row r="645" spans="1:16" x14ac:dyDescent="0.25">
      <c r="A645" s="1">
        <v>25100</v>
      </c>
      <c r="B645" s="1">
        <v>51500</v>
      </c>
      <c r="C645" s="1" t="s">
        <v>214</v>
      </c>
      <c r="G645" s="5">
        <f>SUM(F646:F647)</f>
        <v>16570</v>
      </c>
      <c r="H645" s="5">
        <f>SUM(F646:F647)</f>
        <v>16570</v>
      </c>
      <c r="I645" s="5">
        <v>16570</v>
      </c>
      <c r="J645" s="5">
        <f>[1]Expense!N330</f>
        <v>10673</v>
      </c>
      <c r="K645" s="5">
        <f>[1]Expense!I330</f>
        <v>4400</v>
      </c>
      <c r="L645" s="5">
        <f>[2]Expense!K306</f>
        <v>2067.4499999999998</v>
      </c>
      <c r="M645" s="5">
        <v>1000</v>
      </c>
      <c r="N645" s="5">
        <v>1000</v>
      </c>
      <c r="O645" s="38">
        <f>(G645-K645)/K645</f>
        <v>2.7659090909090911</v>
      </c>
      <c r="P645" s="18">
        <f>G645-K645</f>
        <v>12170</v>
      </c>
    </row>
    <row r="646" spans="1:16" x14ac:dyDescent="0.25">
      <c r="C646" s="1" t="s">
        <v>672</v>
      </c>
      <c r="F646" s="1">
        <v>14770</v>
      </c>
      <c r="G646" s="5"/>
      <c r="H646" s="5"/>
      <c r="J646" s="5"/>
      <c r="O646" s="38"/>
      <c r="P646" s="18"/>
    </row>
    <row r="647" spans="1:16" x14ac:dyDescent="0.25">
      <c r="C647" s="1" t="s">
        <v>673</v>
      </c>
      <c r="F647" s="1">
        <v>1800</v>
      </c>
      <c r="G647" s="5"/>
      <c r="H647" s="5"/>
      <c r="J647" s="5"/>
      <c r="O647" s="38"/>
      <c r="P647" s="18"/>
    </row>
    <row r="648" spans="1:16" x14ac:dyDescent="0.25">
      <c r="A648" s="1">
        <v>25100</v>
      </c>
      <c r="B648" s="1">
        <v>51510</v>
      </c>
      <c r="C648" s="1" t="s">
        <v>20</v>
      </c>
      <c r="G648" s="5"/>
      <c r="H648" s="5"/>
      <c r="M648" s="5">
        <v>3751.23</v>
      </c>
      <c r="N648" s="5">
        <v>2981.44</v>
      </c>
      <c r="O648" s="38"/>
      <c r="P648" s="18"/>
    </row>
    <row r="649" spans="1:16" x14ac:dyDescent="0.25">
      <c r="A649" s="1">
        <v>25100</v>
      </c>
      <c r="B649" s="1">
        <v>51520</v>
      </c>
      <c r="C649" s="1" t="s">
        <v>21</v>
      </c>
      <c r="G649" s="5">
        <v>2650</v>
      </c>
      <c r="H649" s="5">
        <v>2650</v>
      </c>
      <c r="I649" s="5">
        <v>2650</v>
      </c>
      <c r="J649" s="5">
        <f>[1]Expense!N331</f>
        <v>2050</v>
      </c>
      <c r="K649" s="5">
        <f>[1]Expense!I331</f>
        <v>2050</v>
      </c>
      <c r="L649" s="5">
        <f>[2]Expense!K307</f>
        <v>1720</v>
      </c>
      <c r="M649" s="5">
        <v>1620</v>
      </c>
      <c r="N649" s="5">
        <v>1240</v>
      </c>
      <c r="O649" s="38">
        <f>(G649-K649)/K649</f>
        <v>0.29268292682926828</v>
      </c>
      <c r="P649" s="18">
        <f>G649-K649</f>
        <v>600</v>
      </c>
    </row>
    <row r="650" spans="1:16" x14ac:dyDescent="0.25">
      <c r="A650" s="1">
        <v>25100</v>
      </c>
      <c r="B650" s="1">
        <v>52100</v>
      </c>
      <c r="C650" s="1" t="s">
        <v>22</v>
      </c>
      <c r="G650" s="5">
        <v>160500</v>
      </c>
      <c r="H650" s="5">
        <v>160500</v>
      </c>
      <c r="I650" s="5">
        <v>160500</v>
      </c>
      <c r="J650" s="5">
        <f>[1]Expense!N332</f>
        <v>135169</v>
      </c>
      <c r="K650" s="5">
        <f>[1]Expense!I332</f>
        <v>118500</v>
      </c>
      <c r="L650" s="5">
        <f>[2]Expense!K308</f>
        <v>110788.04</v>
      </c>
      <c r="M650" s="5">
        <f>129032.87+245</f>
        <v>129277.87</v>
      </c>
      <c r="N650" s="5">
        <f>129357.56+120</f>
        <v>129477.56</v>
      </c>
      <c r="O650" s="38">
        <f>(G650-K650)/K650</f>
        <v>0.35443037974683544</v>
      </c>
      <c r="P650" s="18">
        <f>G650-K650</f>
        <v>42000</v>
      </c>
    </row>
    <row r="651" spans="1:16" x14ac:dyDescent="0.25">
      <c r="A651" s="1">
        <v>25100</v>
      </c>
      <c r="B651" s="1">
        <v>52140</v>
      </c>
      <c r="C651" s="1" t="s">
        <v>23</v>
      </c>
      <c r="G651" s="5">
        <v>2921</v>
      </c>
      <c r="H651" s="5">
        <v>2921</v>
      </c>
      <c r="I651" s="5">
        <v>2921</v>
      </c>
      <c r="J651" s="5">
        <f>[1]Expense!N333</f>
        <v>1591</v>
      </c>
      <c r="K651" s="5">
        <f>[1]Expense!I333</f>
        <v>1935</v>
      </c>
      <c r="O651" s="38">
        <f>(G651-K651)/K651</f>
        <v>0.50956072351421189</v>
      </c>
      <c r="P651" s="18">
        <f>G651-K651</f>
        <v>986</v>
      </c>
    </row>
    <row r="652" spans="1:16" x14ac:dyDescent="0.25">
      <c r="A652" s="1">
        <v>25100</v>
      </c>
      <c r="B652" s="1">
        <v>52200</v>
      </c>
      <c r="C652" s="1" t="s">
        <v>24</v>
      </c>
      <c r="G652" s="5">
        <f>SUM(F653:F654)</f>
        <v>52100</v>
      </c>
      <c r="H652" s="5">
        <f>SUM(F653:F654)</f>
        <v>52100</v>
      </c>
      <c r="I652" s="5">
        <v>52100</v>
      </c>
      <c r="J652" s="5">
        <f>[1]Expense!N334</f>
        <v>45743</v>
      </c>
      <c r="K652" s="5">
        <f>[1]Expense!I334</f>
        <v>46800</v>
      </c>
      <c r="L652" s="5">
        <f>[2]Expense!K309</f>
        <v>43487.24</v>
      </c>
      <c r="M652" s="5">
        <f>39729.11+197</f>
        <v>39926.11</v>
      </c>
      <c r="N652" s="5">
        <f>39185.28+2134.74</f>
        <v>41320.019999999997</v>
      </c>
      <c r="O652" s="38">
        <f>(G652-K652)/K652</f>
        <v>0.11324786324786325</v>
      </c>
      <c r="P652" s="18">
        <f>G652-K652</f>
        <v>5300</v>
      </c>
    </row>
    <row r="653" spans="1:16" x14ac:dyDescent="0.25">
      <c r="C653" s="1" t="s">
        <v>672</v>
      </c>
      <c r="F653" s="1">
        <v>50323</v>
      </c>
      <c r="G653" s="5"/>
      <c r="H653" s="5"/>
      <c r="J653" s="5"/>
      <c r="O653" s="38"/>
      <c r="P653" s="18"/>
    </row>
    <row r="654" spans="1:16" x14ac:dyDescent="0.25">
      <c r="C654" s="1" t="s">
        <v>673</v>
      </c>
      <c r="F654" s="1">
        <v>1777</v>
      </c>
      <c r="G654" s="5"/>
      <c r="H654" s="5"/>
      <c r="J654" s="5"/>
      <c r="O654" s="38"/>
      <c r="P654" s="18"/>
    </row>
    <row r="655" spans="1:16" x14ac:dyDescent="0.25">
      <c r="A655" s="1">
        <v>25100</v>
      </c>
      <c r="B655" s="1">
        <v>52230</v>
      </c>
      <c r="C655" s="1" t="s">
        <v>25</v>
      </c>
      <c r="G655" s="5">
        <f>SUM(F656:F657)</f>
        <v>86050</v>
      </c>
      <c r="H655" s="5">
        <f>SUM(F656:F657)</f>
        <v>86050</v>
      </c>
      <c r="I655" s="5">
        <v>86050</v>
      </c>
      <c r="J655" s="5">
        <f>[1]Expense!N335</f>
        <v>78292</v>
      </c>
      <c r="K655" s="5">
        <f>[1]Expense!I335</f>
        <v>78600</v>
      </c>
      <c r="L655" s="5">
        <f>[2]Expense!K310</f>
        <v>76352.37</v>
      </c>
      <c r="M655" s="5">
        <f>64154.51+78.23</f>
        <v>64232.740000000005</v>
      </c>
      <c r="N655" s="5">
        <f>53998.98+39.09</f>
        <v>54038.07</v>
      </c>
      <c r="O655" s="38">
        <f>(G655-K655)/K655</f>
        <v>9.4783715012722647E-2</v>
      </c>
      <c r="P655" s="18">
        <f>G655-K655</f>
        <v>7450</v>
      </c>
    </row>
    <row r="656" spans="1:16" x14ac:dyDescent="0.25">
      <c r="C656" s="1" t="s">
        <v>672</v>
      </c>
      <c r="F656" s="1">
        <v>82907</v>
      </c>
      <c r="G656" s="5"/>
      <c r="H656" s="5"/>
      <c r="J656" s="5"/>
      <c r="O656" s="38"/>
      <c r="P656" s="18"/>
    </row>
    <row r="657" spans="1:17" x14ac:dyDescent="0.25">
      <c r="C657" s="1" t="s">
        <v>673</v>
      </c>
      <c r="F657" s="1">
        <v>3143</v>
      </c>
      <c r="G657" s="5"/>
      <c r="H657" s="5"/>
      <c r="J657" s="5"/>
      <c r="O657" s="38"/>
      <c r="P657" s="18"/>
    </row>
    <row r="658" spans="1:17" x14ac:dyDescent="0.25">
      <c r="A658" s="1">
        <v>25100</v>
      </c>
      <c r="B658" s="1">
        <v>52250</v>
      </c>
      <c r="C658" s="1" t="s">
        <v>26</v>
      </c>
      <c r="G658" s="19">
        <v>456</v>
      </c>
      <c r="H658" s="19">
        <v>456</v>
      </c>
      <c r="I658" s="19">
        <v>456</v>
      </c>
      <c r="J658" s="5">
        <f>[1]Expense!N336</f>
        <v>349.12</v>
      </c>
      <c r="K658" s="5">
        <f>[1]Expense!I336</f>
        <v>350</v>
      </c>
      <c r="L658" s="5">
        <f>[2]Expense!K311</f>
        <v>357.74</v>
      </c>
      <c r="M658" s="5">
        <v>966.21</v>
      </c>
      <c r="N658" s="5">
        <v>966.21</v>
      </c>
      <c r="O658" s="38">
        <f>(G658-K658)/K658</f>
        <v>0.30285714285714288</v>
      </c>
      <c r="P658" s="18">
        <f>G658-K658</f>
        <v>106</v>
      </c>
    </row>
    <row r="659" spans="1:17" x14ac:dyDescent="0.25">
      <c r="A659" s="1">
        <v>25100</v>
      </c>
      <c r="B659" s="1">
        <v>52260</v>
      </c>
      <c r="C659" s="1" t="s">
        <v>27</v>
      </c>
      <c r="G659" s="19">
        <v>1236</v>
      </c>
      <c r="H659" s="19">
        <v>1236</v>
      </c>
      <c r="I659" s="19">
        <v>1236</v>
      </c>
      <c r="J659" s="5">
        <f>[1]Expense!N337</f>
        <v>1550.3</v>
      </c>
      <c r="K659" s="5">
        <f>[1]Expense!I337</f>
        <v>1551</v>
      </c>
      <c r="L659" s="5">
        <f>[2]Expense!K312</f>
        <v>1347</v>
      </c>
      <c r="M659" s="5">
        <v>26049</v>
      </c>
      <c r="N659" s="5">
        <v>22770</v>
      </c>
      <c r="O659" s="38">
        <f>(G659-K659)/K659</f>
        <v>-0.20309477756286268</v>
      </c>
      <c r="P659" s="18">
        <f>G659-K659</f>
        <v>-315</v>
      </c>
      <c r="Q659" s="18">
        <f>SUM(P640:P659)</f>
        <v>130797</v>
      </c>
    </row>
    <row r="660" spans="1:17" x14ac:dyDescent="0.25">
      <c r="A660" s="1">
        <v>25100</v>
      </c>
      <c r="B660" s="1">
        <v>53000</v>
      </c>
      <c r="C660" s="1" t="s">
        <v>160</v>
      </c>
      <c r="G660" s="19">
        <v>560000</v>
      </c>
      <c r="H660" s="19">
        <v>560000</v>
      </c>
      <c r="I660" s="19">
        <v>560000</v>
      </c>
      <c r="J660" s="5">
        <f>[1]Expense!N338</f>
        <v>529896</v>
      </c>
      <c r="K660" s="5">
        <f>[1]Expense!I338</f>
        <v>500000</v>
      </c>
      <c r="L660" s="5">
        <f>[2]Expense!K313</f>
        <v>480714</v>
      </c>
      <c r="M660" s="5">
        <v>545776</v>
      </c>
      <c r="N660" s="5">
        <v>663731</v>
      </c>
      <c r="O660" s="38">
        <f>(G660-K660)/K660</f>
        <v>0.12</v>
      </c>
      <c r="P660" s="18">
        <f>G660-K660</f>
        <v>60000</v>
      </c>
    </row>
    <row r="661" spans="1:17" x14ac:dyDescent="0.25">
      <c r="A661" s="1">
        <v>25100</v>
      </c>
      <c r="B661" s="1">
        <v>53010</v>
      </c>
      <c r="C661" s="1" t="s">
        <v>49</v>
      </c>
      <c r="G661" s="5">
        <v>29900</v>
      </c>
      <c r="H661" s="5">
        <v>29900</v>
      </c>
      <c r="I661" s="5">
        <v>29900</v>
      </c>
      <c r="J661" s="5">
        <f>[1]Expense!N339</f>
        <v>30630</v>
      </c>
      <c r="K661" s="5">
        <f>[1]Expense!I339</f>
        <v>32880</v>
      </c>
      <c r="L661" s="5">
        <f>[2]Expense!K314</f>
        <v>19800</v>
      </c>
      <c r="M661" s="5">
        <v>17366.8</v>
      </c>
      <c r="N661" s="5">
        <v>15635</v>
      </c>
      <c r="O661" s="38">
        <f>(G661-K661)/K661</f>
        <v>-9.0632603406326034E-2</v>
      </c>
      <c r="P661" s="18">
        <f>G661-K661</f>
        <v>-2980</v>
      </c>
    </row>
    <row r="662" spans="1:17" x14ac:dyDescent="0.25">
      <c r="C662" s="1" t="s">
        <v>545</v>
      </c>
      <c r="F662" s="1">
        <v>20600</v>
      </c>
      <c r="G662" s="5"/>
      <c r="H662" s="5"/>
      <c r="O662" s="38"/>
      <c r="P662" s="18"/>
    </row>
    <row r="663" spans="1:17" x14ac:dyDescent="0.25">
      <c r="C663" s="1" t="s">
        <v>546</v>
      </c>
      <c r="F663" s="1">
        <v>4800</v>
      </c>
      <c r="G663" s="5"/>
      <c r="H663" s="5"/>
      <c r="J663" s="5"/>
      <c r="O663" s="38"/>
      <c r="P663" s="18"/>
    </row>
    <row r="664" spans="1:17" x14ac:dyDescent="0.25">
      <c r="C664" s="1" t="s">
        <v>547</v>
      </c>
      <c r="F664" s="1">
        <v>4500</v>
      </c>
      <c r="G664" s="5"/>
      <c r="H664" s="5"/>
      <c r="J664" s="5"/>
      <c r="O664" s="38"/>
      <c r="P664" s="18"/>
    </row>
    <row r="665" spans="1:17" x14ac:dyDescent="0.25">
      <c r="A665" s="1">
        <v>25100</v>
      </c>
      <c r="B665" s="1">
        <v>53200</v>
      </c>
      <c r="C665" s="1" t="s">
        <v>9</v>
      </c>
      <c r="G665" s="5"/>
      <c r="H665" s="5"/>
      <c r="J665" s="5">
        <f>[1]Expense!N340</f>
        <v>0</v>
      </c>
      <c r="K665" s="5">
        <f>[1]Expense!I340</f>
        <v>0</v>
      </c>
      <c r="L665" s="5">
        <f>[2]Expense!K315</f>
        <v>0</v>
      </c>
      <c r="M665" s="5">
        <v>312</v>
      </c>
      <c r="N665" s="5">
        <v>0</v>
      </c>
      <c r="O665" s="38"/>
      <c r="P665" s="18"/>
    </row>
    <row r="666" spans="1:17" x14ac:dyDescent="0.25">
      <c r="A666" s="1">
        <v>25100</v>
      </c>
      <c r="B666" s="1">
        <v>53410</v>
      </c>
      <c r="C666" s="1" t="s">
        <v>29</v>
      </c>
      <c r="G666" s="5">
        <f>SUM(F667:F670)</f>
        <v>5614</v>
      </c>
      <c r="H666" s="5">
        <f>SUM(F667:F670)</f>
        <v>5614</v>
      </c>
      <c r="I666" s="5">
        <v>5614</v>
      </c>
      <c r="J666" s="5">
        <f>[1]Expense!N341</f>
        <v>7485</v>
      </c>
      <c r="K666" s="5">
        <f>[1]Expense!I341</f>
        <v>7780</v>
      </c>
      <c r="L666" s="5">
        <f>[2]Expense!K316</f>
        <v>5312.27</v>
      </c>
      <c r="M666" s="5">
        <v>5811.24</v>
      </c>
      <c r="N666" s="5">
        <f>6497.24+62.73</f>
        <v>6559.9699999999993</v>
      </c>
      <c r="O666" s="38">
        <f>(G666-K666)/K666</f>
        <v>-0.27840616966580978</v>
      </c>
      <c r="P666" s="18">
        <f>G666-K666</f>
        <v>-2166</v>
      </c>
    </row>
    <row r="667" spans="1:17" x14ac:dyDescent="0.25">
      <c r="C667" s="1" t="s">
        <v>548</v>
      </c>
      <c r="D667" s="1">
        <v>4</v>
      </c>
      <c r="E667" s="1">
        <v>187.5</v>
      </c>
      <c r="F667" s="1">
        <v>750</v>
      </c>
      <c r="G667" s="5"/>
      <c r="H667" s="5"/>
      <c r="O667" s="38"/>
      <c r="P667" s="18"/>
    </row>
    <row r="668" spans="1:17" x14ac:dyDescent="0.25">
      <c r="C668" s="1" t="s">
        <v>549</v>
      </c>
      <c r="D668" s="1">
        <v>12</v>
      </c>
      <c r="E668" s="1">
        <v>36</v>
      </c>
      <c r="F668" s="1">
        <v>432</v>
      </c>
      <c r="G668" s="5"/>
      <c r="H668" s="5"/>
      <c r="O668" s="38"/>
      <c r="P668" s="18"/>
    </row>
    <row r="669" spans="1:17" x14ac:dyDescent="0.25">
      <c r="C669" s="1" t="s">
        <v>550</v>
      </c>
      <c r="D669" s="1">
        <v>5.4</v>
      </c>
      <c r="E669" s="1">
        <v>780</v>
      </c>
      <c r="F669" s="1">
        <f>D669*E669</f>
        <v>4212</v>
      </c>
      <c r="G669" s="5"/>
      <c r="H669" s="5"/>
      <c r="O669" s="38"/>
      <c r="P669" s="18"/>
    </row>
    <row r="670" spans="1:17" x14ac:dyDescent="0.25">
      <c r="C670" s="1" t="s">
        <v>551</v>
      </c>
      <c r="D670" s="1">
        <v>2</v>
      </c>
      <c r="E670" s="1">
        <v>110</v>
      </c>
      <c r="F670" s="1">
        <v>220</v>
      </c>
      <c r="G670" s="5"/>
      <c r="H670" s="5"/>
      <c r="O670" s="38"/>
      <c r="P670" s="18"/>
    </row>
    <row r="671" spans="1:17" x14ac:dyDescent="0.25">
      <c r="A671" s="1">
        <v>25100</v>
      </c>
      <c r="B671" s="1">
        <v>53412</v>
      </c>
      <c r="C671" s="1" t="s">
        <v>76</v>
      </c>
      <c r="G671" s="19">
        <v>5000</v>
      </c>
      <c r="H671" s="19">
        <v>5000</v>
      </c>
      <c r="I671" s="19">
        <v>5000</v>
      </c>
      <c r="J671" s="5">
        <f>[1]Expense!N342</f>
        <v>4812</v>
      </c>
      <c r="K671" s="5">
        <f>[1]Expense!I342</f>
        <v>5000</v>
      </c>
      <c r="L671" s="5">
        <f>[2]Expense!K317</f>
        <v>4687.13</v>
      </c>
      <c r="M671" s="5">
        <v>0</v>
      </c>
      <c r="N671" s="5">
        <v>0</v>
      </c>
      <c r="O671" s="38">
        <f>(G671-K671)/K671</f>
        <v>0</v>
      </c>
      <c r="P671" s="18">
        <f>G671-K671</f>
        <v>0</v>
      </c>
    </row>
    <row r="672" spans="1:17" x14ac:dyDescent="0.25">
      <c r="A672" s="1">
        <v>25100</v>
      </c>
      <c r="B672" s="1">
        <v>53420</v>
      </c>
      <c r="C672" s="1" t="s">
        <v>552</v>
      </c>
      <c r="G672" s="5">
        <v>56958</v>
      </c>
      <c r="H672" s="5">
        <v>56958</v>
      </c>
      <c r="I672" s="5">
        <v>56958</v>
      </c>
      <c r="J672" s="5">
        <f>[1]Expense!N343</f>
        <v>53986.559999999998</v>
      </c>
      <c r="K672" s="5">
        <f>[1]Expense!I343</f>
        <v>44790</v>
      </c>
      <c r="L672" s="5">
        <f>[2]Expense!K318</f>
        <v>52287.12</v>
      </c>
      <c r="M672" s="5">
        <v>53029.47</v>
      </c>
      <c r="N672" s="5">
        <v>54223.69</v>
      </c>
      <c r="O672" s="38">
        <f>(G672-K672)/K672</f>
        <v>0.27166778298727395</v>
      </c>
      <c r="P672" s="18">
        <f>G672-K672</f>
        <v>12168</v>
      </c>
    </row>
    <row r="673" spans="1:16" x14ac:dyDescent="0.25">
      <c r="A673" s="1">
        <v>25100</v>
      </c>
      <c r="B673" s="1">
        <v>53425</v>
      </c>
      <c r="C673" s="1" t="s">
        <v>31</v>
      </c>
      <c r="G673" s="5">
        <f>SUM(F674:F689)</f>
        <v>122768</v>
      </c>
      <c r="H673" s="5">
        <v>122768</v>
      </c>
      <c r="I673" s="5">
        <v>122768</v>
      </c>
      <c r="J673" s="5">
        <f>[1]Expense!N344</f>
        <v>107184.83</v>
      </c>
      <c r="K673" s="5">
        <f>[1]Expense!I344</f>
        <v>115303</v>
      </c>
      <c r="L673" s="5">
        <f>[2]Expense!K319</f>
        <v>101029.43</v>
      </c>
      <c r="M673" s="5">
        <v>83938.46</v>
      </c>
      <c r="N673" s="5">
        <v>71312.02</v>
      </c>
      <c r="O673" s="38">
        <f>(G673-K673)/K673</f>
        <v>6.4742461167532503E-2</v>
      </c>
      <c r="P673" s="18">
        <f>G673-K673</f>
        <v>7465</v>
      </c>
    </row>
    <row r="674" spans="1:16" x14ac:dyDescent="0.25">
      <c r="C674" s="1" t="s">
        <v>553</v>
      </c>
      <c r="F674" s="1">
        <v>22149</v>
      </c>
      <c r="G674" s="5"/>
      <c r="H674" s="5"/>
      <c r="J674" s="5"/>
      <c r="O674" s="38"/>
      <c r="P674" s="18"/>
    </row>
    <row r="675" spans="1:16" x14ac:dyDescent="0.25">
      <c r="C675" s="1" t="s">
        <v>567</v>
      </c>
      <c r="F675" s="1">
        <v>8595</v>
      </c>
      <c r="G675" s="5"/>
      <c r="H675" s="5"/>
      <c r="J675" s="5"/>
      <c r="O675" s="38"/>
      <c r="P675" s="18"/>
    </row>
    <row r="676" spans="1:16" x14ac:dyDescent="0.25">
      <c r="C676" s="1" t="s">
        <v>568</v>
      </c>
      <c r="F676" s="1">
        <v>600</v>
      </c>
      <c r="G676" s="5"/>
      <c r="H676" s="5"/>
      <c r="J676" s="5"/>
      <c r="O676" s="38"/>
      <c r="P676" s="18"/>
    </row>
    <row r="677" spans="1:16" x14ac:dyDescent="0.25">
      <c r="C677" s="1" t="s">
        <v>554</v>
      </c>
      <c r="F677" s="1">
        <v>4875</v>
      </c>
      <c r="G677" s="5"/>
      <c r="H677" s="5"/>
      <c r="J677" s="5"/>
      <c r="O677" s="38"/>
      <c r="P677" s="18"/>
    </row>
    <row r="678" spans="1:16" x14ac:dyDescent="0.25">
      <c r="C678" s="1" t="s">
        <v>565</v>
      </c>
      <c r="F678" s="1">
        <v>1295</v>
      </c>
      <c r="G678" s="5"/>
      <c r="H678" s="5"/>
      <c r="J678" s="5"/>
      <c r="O678" s="38"/>
      <c r="P678" s="18"/>
    </row>
    <row r="679" spans="1:16" x14ac:dyDescent="0.25">
      <c r="C679" s="1" t="s">
        <v>566</v>
      </c>
      <c r="D679" s="1">
        <v>12</v>
      </c>
      <c r="E679" s="1">
        <v>3251</v>
      </c>
      <c r="F679" s="1">
        <v>39012</v>
      </c>
      <c r="G679" s="5"/>
      <c r="H679" s="5"/>
      <c r="J679" s="5"/>
      <c r="O679" s="38"/>
      <c r="P679" s="18"/>
    </row>
    <row r="680" spans="1:16" x14ac:dyDescent="0.25">
      <c r="C680" s="1" t="s">
        <v>555</v>
      </c>
      <c r="F680" s="1">
        <v>360</v>
      </c>
      <c r="G680" s="5"/>
      <c r="H680" s="5"/>
      <c r="J680" s="5"/>
      <c r="O680" s="38"/>
      <c r="P680" s="18"/>
    </row>
    <row r="681" spans="1:16" x14ac:dyDescent="0.25">
      <c r="C681" s="1" t="s">
        <v>556</v>
      </c>
      <c r="D681" s="1">
        <v>4</v>
      </c>
      <c r="E681" s="1">
        <v>1260</v>
      </c>
      <c r="F681" s="1">
        <v>5065</v>
      </c>
      <c r="G681" s="5"/>
      <c r="H681" s="5"/>
      <c r="J681" s="5"/>
      <c r="O681" s="38"/>
      <c r="P681" s="18"/>
    </row>
    <row r="682" spans="1:16" x14ac:dyDescent="0.25">
      <c r="C682" s="1" t="s">
        <v>557</v>
      </c>
      <c r="F682" s="1">
        <v>14124</v>
      </c>
      <c r="G682" s="5"/>
      <c r="H682" s="5"/>
      <c r="J682" s="5"/>
      <c r="O682" s="38"/>
      <c r="P682" s="18"/>
    </row>
    <row r="683" spans="1:16" x14ac:dyDescent="0.25">
      <c r="C683" s="1" t="s">
        <v>558</v>
      </c>
      <c r="F683" s="1">
        <v>1000</v>
      </c>
      <c r="G683" s="5"/>
      <c r="H683" s="5"/>
      <c r="J683" s="5"/>
      <c r="O683" s="38"/>
      <c r="P683" s="18"/>
    </row>
    <row r="684" spans="1:16" x14ac:dyDescent="0.25">
      <c r="C684" s="1" t="s">
        <v>559</v>
      </c>
      <c r="G684" s="5"/>
      <c r="H684" s="5"/>
      <c r="J684" s="5"/>
      <c r="O684" s="38"/>
      <c r="P684" s="18"/>
    </row>
    <row r="685" spans="1:16" x14ac:dyDescent="0.25">
      <c r="C685" s="1" t="s">
        <v>560</v>
      </c>
      <c r="F685" s="1">
        <v>150</v>
      </c>
      <c r="G685" s="5"/>
      <c r="H685" s="5"/>
      <c r="J685" s="5"/>
      <c r="O685" s="38"/>
      <c r="P685" s="18"/>
    </row>
    <row r="686" spans="1:16" x14ac:dyDescent="0.25">
      <c r="C686" s="1" t="s">
        <v>561</v>
      </c>
      <c r="F686" s="1">
        <v>1023</v>
      </c>
      <c r="G686" s="5"/>
      <c r="H686" s="5"/>
      <c r="J686" s="5"/>
      <c r="O686" s="38"/>
      <c r="P686" s="18"/>
    </row>
    <row r="687" spans="1:16" x14ac:dyDescent="0.25">
      <c r="C687" s="1" t="s">
        <v>562</v>
      </c>
      <c r="F687" s="1">
        <v>19200</v>
      </c>
      <c r="G687" s="5"/>
      <c r="H687" s="5"/>
      <c r="J687" s="5"/>
      <c r="O687" s="38"/>
      <c r="P687" s="18"/>
    </row>
    <row r="688" spans="1:16" x14ac:dyDescent="0.25">
      <c r="C688" s="1" t="s">
        <v>569</v>
      </c>
      <c r="D688" s="1">
        <v>12</v>
      </c>
      <c r="E688" s="1">
        <v>110</v>
      </c>
      <c r="F688" s="1">
        <v>1320</v>
      </c>
      <c r="G688" s="5"/>
      <c r="H688" s="5"/>
      <c r="J688" s="5"/>
      <c r="O688" s="38"/>
      <c r="P688" s="18"/>
    </row>
    <row r="689" spans="1:16" x14ac:dyDescent="0.25">
      <c r="C689" s="1" t="s">
        <v>563</v>
      </c>
      <c r="F689" s="1">
        <v>4000</v>
      </c>
      <c r="G689" s="5"/>
      <c r="H689" s="5"/>
      <c r="J689" s="5"/>
      <c r="O689" s="38"/>
      <c r="P689" s="18"/>
    </row>
    <row r="690" spans="1:16" x14ac:dyDescent="0.25">
      <c r="C690" s="1" t="s">
        <v>564</v>
      </c>
      <c r="G690" s="5"/>
      <c r="H690" s="5"/>
      <c r="O690" s="38"/>
      <c r="P690" s="18"/>
    </row>
    <row r="691" spans="1:16" x14ac:dyDescent="0.25">
      <c r="A691" s="1">
        <v>25100</v>
      </c>
      <c r="B691" s="1">
        <v>53435</v>
      </c>
      <c r="C691" s="1" t="s">
        <v>56</v>
      </c>
      <c r="G691" s="58">
        <f>SUM(F692:F694)</f>
        <v>26800</v>
      </c>
      <c r="H691" s="5">
        <v>32800</v>
      </c>
      <c r="I691" s="5">
        <v>32800</v>
      </c>
      <c r="J691" s="5">
        <f>[1]Expense!N345</f>
        <v>6000</v>
      </c>
      <c r="K691" s="5">
        <f>[1]Expense!I345</f>
        <v>6000</v>
      </c>
      <c r="L691" s="5">
        <f>[2]Expense!K320</f>
        <v>1702</v>
      </c>
      <c r="M691" s="5">
        <v>6657.38</v>
      </c>
      <c r="N691" s="5">
        <v>22260.7</v>
      </c>
      <c r="O691" s="38">
        <f>(G691-K691)/K691</f>
        <v>3.4666666666666668</v>
      </c>
      <c r="P691" s="18">
        <f>G691-K691</f>
        <v>20800</v>
      </c>
    </row>
    <row r="692" spans="1:16" x14ac:dyDescent="0.25">
      <c r="C692" s="1" t="s">
        <v>570</v>
      </c>
      <c r="D692" s="1">
        <v>2</v>
      </c>
      <c r="E692" s="1">
        <v>12000</v>
      </c>
      <c r="F692" s="57">
        <f>D692*E692</f>
        <v>24000</v>
      </c>
      <c r="G692" s="5"/>
      <c r="H692" s="5"/>
      <c r="J692" s="5"/>
      <c r="O692" s="38"/>
      <c r="P692" s="18"/>
    </row>
    <row r="693" spans="1:16" x14ac:dyDescent="0.25">
      <c r="C693" s="1" t="s">
        <v>571</v>
      </c>
      <c r="D693" s="1">
        <v>1</v>
      </c>
      <c r="E693" s="1">
        <v>800</v>
      </c>
      <c r="F693" s="1">
        <v>800</v>
      </c>
      <c r="G693" s="5"/>
      <c r="H693" s="5"/>
      <c r="J693" s="5"/>
      <c r="O693" s="38"/>
      <c r="P693" s="18"/>
    </row>
    <row r="694" spans="1:16" x14ac:dyDescent="0.25">
      <c r="C694" s="1" t="s">
        <v>572</v>
      </c>
      <c r="D694" s="1">
        <v>2</v>
      </c>
      <c r="E694" s="1">
        <v>1000</v>
      </c>
      <c r="F694" s="1">
        <v>2000</v>
      </c>
      <c r="G694" s="5"/>
      <c r="H694" s="5"/>
      <c r="O694" s="38"/>
      <c r="P694" s="18"/>
    </row>
    <row r="695" spans="1:16" x14ac:dyDescent="0.25">
      <c r="A695" s="1">
        <v>25100</v>
      </c>
      <c r="B695" s="1">
        <v>53440</v>
      </c>
      <c r="C695" s="1" t="s">
        <v>161</v>
      </c>
      <c r="G695" s="5">
        <v>12300</v>
      </c>
      <c r="H695" s="5">
        <v>12300</v>
      </c>
      <c r="I695" s="5">
        <v>12300</v>
      </c>
      <c r="J695" s="5">
        <f>[1]Expense!N346</f>
        <v>18615</v>
      </c>
      <c r="K695" s="5">
        <f>[1]Expense!I346</f>
        <v>14152</v>
      </c>
      <c r="L695" s="5">
        <f>[2]Expense!K321</f>
        <v>11163.58</v>
      </c>
      <c r="M695" s="5">
        <v>19026.189999999999</v>
      </c>
      <c r="N695" s="5">
        <f>16780.04+169.4</f>
        <v>16949.440000000002</v>
      </c>
      <c r="O695" s="38">
        <f>(G695-K695)/K695</f>
        <v>-0.13086489542114188</v>
      </c>
      <c r="P695" s="18">
        <f>G695-K695</f>
        <v>-1852</v>
      </c>
    </row>
    <row r="696" spans="1:16" x14ac:dyDescent="0.25">
      <c r="C696" s="1" t="s">
        <v>573</v>
      </c>
      <c r="D696" s="1">
        <v>1</v>
      </c>
      <c r="E696" s="1">
        <v>4076</v>
      </c>
      <c r="F696" s="1">
        <v>4076</v>
      </c>
      <c r="G696" s="5"/>
      <c r="H696" s="5"/>
      <c r="J696" s="5"/>
      <c r="O696" s="38"/>
      <c r="P696" s="18"/>
    </row>
    <row r="697" spans="1:16" x14ac:dyDescent="0.25">
      <c r="C697" s="1" t="s">
        <v>574</v>
      </c>
      <c r="D697" s="1">
        <v>1</v>
      </c>
      <c r="E697" s="1">
        <v>1320</v>
      </c>
      <c r="F697" s="1">
        <v>1320</v>
      </c>
      <c r="G697" s="5"/>
      <c r="H697" s="5"/>
      <c r="J697" s="5"/>
      <c r="O697" s="38"/>
      <c r="P697" s="18"/>
    </row>
    <row r="698" spans="1:16" x14ac:dyDescent="0.25">
      <c r="C698" s="1" t="s">
        <v>575</v>
      </c>
      <c r="D698" s="1">
        <v>1</v>
      </c>
      <c r="E698" s="1">
        <v>800</v>
      </c>
      <c r="F698" s="1">
        <v>800</v>
      </c>
      <c r="G698" s="5"/>
      <c r="H698" s="5"/>
      <c r="J698" s="5"/>
      <c r="O698" s="38"/>
      <c r="P698" s="18"/>
    </row>
    <row r="699" spans="1:16" x14ac:dyDescent="0.25">
      <c r="C699" s="1" t="s">
        <v>576</v>
      </c>
      <c r="D699" s="1">
        <v>1</v>
      </c>
      <c r="E699" s="1">
        <v>1920</v>
      </c>
      <c r="F699" s="1">
        <v>1920</v>
      </c>
      <c r="G699" s="5"/>
      <c r="H699" s="5"/>
      <c r="J699" s="5"/>
      <c r="O699" s="38"/>
      <c r="P699" s="18"/>
    </row>
    <row r="700" spans="1:16" x14ac:dyDescent="0.25">
      <c r="C700" s="1" t="s">
        <v>321</v>
      </c>
      <c r="D700" s="1">
        <v>1</v>
      </c>
      <c r="E700" s="1">
        <v>72</v>
      </c>
      <c r="F700" s="1">
        <v>72</v>
      </c>
      <c r="G700" s="5"/>
      <c r="H700" s="5"/>
      <c r="J700" s="5"/>
      <c r="O700" s="38"/>
      <c r="P700" s="18"/>
    </row>
    <row r="701" spans="1:16" x14ac:dyDescent="0.25">
      <c r="C701" s="1" t="s">
        <v>577</v>
      </c>
      <c r="D701" s="1">
        <v>1</v>
      </c>
      <c r="E701" s="1">
        <v>1392</v>
      </c>
      <c r="F701" s="1">
        <v>1392</v>
      </c>
      <c r="G701" s="5"/>
      <c r="H701" s="5"/>
      <c r="J701" s="5"/>
      <c r="O701" s="38"/>
      <c r="P701" s="18"/>
    </row>
    <row r="702" spans="1:16" x14ac:dyDescent="0.25">
      <c r="C702" s="1" t="s">
        <v>578</v>
      </c>
      <c r="D702" s="1">
        <v>1</v>
      </c>
      <c r="E702" s="1">
        <v>2720</v>
      </c>
      <c r="F702" s="1">
        <v>2720</v>
      </c>
      <c r="G702" s="5"/>
      <c r="H702" s="5"/>
      <c r="O702" s="38"/>
      <c r="P702" s="18"/>
    </row>
    <row r="703" spans="1:16" x14ac:dyDescent="0.25">
      <c r="A703" s="1">
        <v>25100</v>
      </c>
      <c r="B703" s="1">
        <v>53501</v>
      </c>
      <c r="C703" s="1" t="s">
        <v>162</v>
      </c>
      <c r="G703" s="5">
        <v>6400</v>
      </c>
      <c r="H703" s="5">
        <v>6400</v>
      </c>
      <c r="I703" s="5">
        <v>6400</v>
      </c>
      <c r="J703" s="5">
        <f>[1]Expense!N347</f>
        <v>5355</v>
      </c>
      <c r="K703" s="5">
        <f>[1]Expense!I347</f>
        <v>5250</v>
      </c>
      <c r="L703" s="5">
        <f>[2]Expense!K322</f>
        <v>6237</v>
      </c>
      <c r="M703" s="5">
        <v>4227</v>
      </c>
      <c r="N703" s="5">
        <v>4619</v>
      </c>
      <c r="O703" s="38">
        <f>(G703-K703)/K703</f>
        <v>0.21904761904761905</v>
      </c>
      <c r="P703" s="18">
        <f>G703-K703</f>
        <v>1150</v>
      </c>
    </row>
    <row r="704" spans="1:16" x14ac:dyDescent="0.25">
      <c r="C704" s="1" t="s">
        <v>579</v>
      </c>
      <c r="D704" s="1">
        <v>7</v>
      </c>
      <c r="E704" s="1">
        <v>15</v>
      </c>
      <c r="F704" s="1">
        <f>D704*E704</f>
        <v>105</v>
      </c>
      <c r="G704" s="5"/>
      <c r="H704" s="5"/>
      <c r="J704" s="5"/>
      <c r="O704" s="38"/>
      <c r="P704" s="18"/>
    </row>
    <row r="705" spans="1:16" x14ac:dyDescent="0.25">
      <c r="C705" s="1" t="s">
        <v>580</v>
      </c>
      <c r="D705" s="1">
        <v>40</v>
      </c>
      <c r="E705" s="1">
        <v>25</v>
      </c>
      <c r="F705" s="1">
        <f>D705*E705</f>
        <v>1000</v>
      </c>
      <c r="G705" s="5"/>
      <c r="H705" s="5"/>
      <c r="J705" s="5"/>
      <c r="O705" s="38"/>
      <c r="P705" s="18"/>
    </row>
    <row r="706" spans="1:16" x14ac:dyDescent="0.25">
      <c r="C706" s="1" t="s">
        <v>581</v>
      </c>
      <c r="D706" s="1">
        <v>40</v>
      </c>
      <c r="E706" s="1">
        <v>133</v>
      </c>
      <c r="F706" s="1">
        <f>D706*E706</f>
        <v>5320</v>
      </c>
      <c r="G706" s="5"/>
      <c r="H706" s="5"/>
      <c r="O706" s="38"/>
      <c r="P706" s="18"/>
    </row>
    <row r="707" spans="1:16" x14ac:dyDescent="0.25">
      <c r="A707" s="1">
        <v>25100</v>
      </c>
      <c r="B707" s="1">
        <v>54352</v>
      </c>
      <c r="C707" s="1" t="s">
        <v>58</v>
      </c>
      <c r="G707" s="5">
        <v>400</v>
      </c>
      <c r="H707" s="5">
        <v>400</v>
      </c>
      <c r="I707" s="5">
        <v>400</v>
      </c>
      <c r="J707" s="5">
        <f>[1]Expense!N348</f>
        <v>160</v>
      </c>
      <c r="K707" s="5">
        <f>[1]Expense!I348</f>
        <v>400</v>
      </c>
      <c r="L707" s="5">
        <f>[2]Expense!K323</f>
        <v>1266.26</v>
      </c>
      <c r="M707" s="5">
        <v>373.41</v>
      </c>
      <c r="N707" s="5">
        <v>321.18</v>
      </c>
      <c r="O707" s="38">
        <f>(G707-K707)/K707</f>
        <v>0</v>
      </c>
      <c r="P707" s="18">
        <f>G707-K707</f>
        <v>0</v>
      </c>
    </row>
    <row r="708" spans="1:16" x14ac:dyDescent="0.25">
      <c r="C708" s="1" t="s">
        <v>582</v>
      </c>
      <c r="G708" s="5"/>
      <c r="H708" s="5"/>
      <c r="O708" s="38"/>
      <c r="P708" s="18"/>
    </row>
    <row r="709" spans="1:16" x14ac:dyDescent="0.25">
      <c r="A709" s="1">
        <v>25100</v>
      </c>
      <c r="B709" s="1">
        <v>54353</v>
      </c>
      <c r="C709" s="1" t="s">
        <v>35</v>
      </c>
      <c r="G709" s="5">
        <v>8616</v>
      </c>
      <c r="H709" s="5">
        <v>8616</v>
      </c>
      <c r="I709" s="5">
        <v>8616</v>
      </c>
      <c r="J709" s="5">
        <f>[1]Expense!N349</f>
        <v>7964</v>
      </c>
      <c r="K709" s="5">
        <f>[1]Expense!I349</f>
        <v>4800</v>
      </c>
      <c r="L709" s="5">
        <f>[2]Expense!K324</f>
        <v>5835.26</v>
      </c>
      <c r="M709" s="5">
        <v>4146.2700000000004</v>
      </c>
      <c r="N709" s="5">
        <v>3977.92</v>
      </c>
      <c r="O709" s="38">
        <f>(G709-K709)/K709</f>
        <v>0.79500000000000004</v>
      </c>
      <c r="P709" s="18">
        <f>G709-K709</f>
        <v>3816</v>
      </c>
    </row>
    <row r="710" spans="1:16" x14ac:dyDescent="0.25">
      <c r="A710" s="1">
        <v>25100</v>
      </c>
      <c r="B710" s="1">
        <v>54800</v>
      </c>
      <c r="C710" s="1" t="s">
        <v>36</v>
      </c>
      <c r="G710" s="19">
        <v>28865</v>
      </c>
      <c r="H710" s="19">
        <v>28865</v>
      </c>
      <c r="I710" s="19">
        <v>28865</v>
      </c>
      <c r="J710" s="4">
        <f>[1]Expense!N350</f>
        <v>24503.360000000001</v>
      </c>
      <c r="K710" s="5">
        <f>[1]Expense!I350</f>
        <v>24504</v>
      </c>
      <c r="L710" s="5">
        <f>[2]Expense!K325</f>
        <v>22275.83</v>
      </c>
      <c r="M710" s="5">
        <v>20818.45</v>
      </c>
      <c r="N710" s="5">
        <v>19456.47</v>
      </c>
      <c r="O710" s="38">
        <f>(G710-K710)/K710</f>
        <v>0.17797094351942541</v>
      </c>
      <c r="P710" s="18">
        <f>G710-K710</f>
        <v>4361</v>
      </c>
    </row>
    <row r="711" spans="1:16" x14ac:dyDescent="0.25">
      <c r="A711" s="1">
        <v>25100</v>
      </c>
      <c r="B711" s="1">
        <v>55600</v>
      </c>
      <c r="C711" s="1" t="s">
        <v>50</v>
      </c>
      <c r="G711" s="5">
        <v>7456</v>
      </c>
      <c r="H711" s="5">
        <v>7456</v>
      </c>
      <c r="I711" s="5">
        <v>7456</v>
      </c>
      <c r="J711" s="1">
        <f>[1]Expense!N351</f>
        <v>8647</v>
      </c>
      <c r="K711" s="5">
        <v>7266</v>
      </c>
      <c r="L711" s="5">
        <f>[2]Expense!K326</f>
        <v>7209.37</v>
      </c>
      <c r="M711" s="5">
        <v>9372.5</v>
      </c>
      <c r="N711" s="5">
        <v>6047.5</v>
      </c>
      <c r="O711" s="38">
        <f>(G711-K711)/K711</f>
        <v>2.6149187998898982E-2</v>
      </c>
      <c r="P711" s="18">
        <f>G711-K711</f>
        <v>190</v>
      </c>
    </row>
    <row r="712" spans="1:16" x14ac:dyDescent="0.25">
      <c r="C712" s="1" t="s">
        <v>583</v>
      </c>
      <c r="F712" s="1">
        <v>140</v>
      </c>
      <c r="G712" s="5"/>
      <c r="H712" s="5"/>
      <c r="O712" s="38"/>
      <c r="P712" s="18"/>
    </row>
    <row r="713" spans="1:16" x14ac:dyDescent="0.25">
      <c r="C713" s="1" t="s">
        <v>584</v>
      </c>
      <c r="F713" s="1">
        <v>219</v>
      </c>
      <c r="G713" s="5"/>
      <c r="H713" s="5"/>
      <c r="O713" s="38"/>
      <c r="P713" s="18"/>
    </row>
    <row r="714" spans="1:16" x14ac:dyDescent="0.25">
      <c r="C714" s="1" t="s">
        <v>585</v>
      </c>
      <c r="F714" s="1">
        <v>135</v>
      </c>
      <c r="G714" s="5"/>
      <c r="H714" s="5"/>
      <c r="O714" s="38"/>
      <c r="P714" s="18"/>
    </row>
    <row r="715" spans="1:16" x14ac:dyDescent="0.25">
      <c r="C715" s="1" t="s">
        <v>586</v>
      </c>
      <c r="F715" s="1">
        <v>25</v>
      </c>
      <c r="G715" s="5"/>
      <c r="H715" s="5"/>
      <c r="O715" s="38"/>
      <c r="P715" s="18"/>
    </row>
    <row r="716" spans="1:16" x14ac:dyDescent="0.25">
      <c r="C716" s="1" t="s">
        <v>587</v>
      </c>
      <c r="F716" s="1">
        <v>52</v>
      </c>
      <c r="G716" s="5"/>
      <c r="H716" s="5"/>
      <c r="O716" s="38"/>
      <c r="P716" s="18"/>
    </row>
    <row r="717" spans="1:16" x14ac:dyDescent="0.25">
      <c r="C717" s="1" t="s">
        <v>588</v>
      </c>
      <c r="F717" s="1">
        <v>225</v>
      </c>
      <c r="G717" s="5"/>
      <c r="H717" s="5"/>
      <c r="O717" s="38"/>
      <c r="P717" s="18"/>
    </row>
    <row r="718" spans="1:16" x14ac:dyDescent="0.25">
      <c r="C718" s="1" t="s">
        <v>589</v>
      </c>
      <c r="F718" s="1">
        <v>180</v>
      </c>
      <c r="G718" s="5"/>
      <c r="H718" s="5"/>
      <c r="O718" s="38"/>
      <c r="P718" s="18"/>
    </row>
    <row r="719" spans="1:16" x14ac:dyDescent="0.25">
      <c r="C719" s="1" t="s">
        <v>590</v>
      </c>
      <c r="F719" s="1">
        <v>6000</v>
      </c>
      <c r="G719" s="5"/>
      <c r="H719" s="5"/>
      <c r="O719" s="38"/>
      <c r="P719" s="18"/>
    </row>
    <row r="720" spans="1:16" x14ac:dyDescent="0.25">
      <c r="C720" s="1" t="s">
        <v>591</v>
      </c>
      <c r="F720" s="1">
        <v>115</v>
      </c>
      <c r="G720" s="5"/>
      <c r="H720" s="5"/>
      <c r="O720" s="38"/>
      <c r="P720" s="18"/>
    </row>
    <row r="721" spans="1:16" x14ac:dyDescent="0.25">
      <c r="C721" s="1" t="s">
        <v>592</v>
      </c>
      <c r="F721" s="1">
        <v>65</v>
      </c>
      <c r="G721" s="5"/>
      <c r="H721" s="5"/>
      <c r="O721" s="38"/>
      <c r="P721" s="18"/>
    </row>
    <row r="722" spans="1:16" x14ac:dyDescent="0.25">
      <c r="C722" s="1" t="s">
        <v>593</v>
      </c>
      <c r="F722" s="1">
        <v>300</v>
      </c>
      <c r="G722" s="5"/>
      <c r="H722" s="5"/>
      <c r="O722" s="38"/>
      <c r="P722" s="18"/>
    </row>
    <row r="723" spans="1:16" x14ac:dyDescent="0.25">
      <c r="A723" s="1">
        <v>25100</v>
      </c>
      <c r="B723" s="1">
        <v>56105</v>
      </c>
      <c r="C723" s="1" t="s">
        <v>38</v>
      </c>
      <c r="G723" s="5">
        <v>2500</v>
      </c>
      <c r="H723" s="5">
        <v>2500</v>
      </c>
      <c r="I723" s="5">
        <v>2500</v>
      </c>
      <c r="J723" s="5">
        <f>[1]Expense!N352</f>
        <v>3048</v>
      </c>
      <c r="K723" s="5">
        <v>2500</v>
      </c>
      <c r="L723" s="5">
        <f>[2]Expense!K327</f>
        <v>1871.5</v>
      </c>
      <c r="M723" s="5">
        <f>2370.01+397</f>
        <v>2767.01</v>
      </c>
      <c r="N723" s="5">
        <v>2030.34</v>
      </c>
      <c r="O723" s="38">
        <f>(G723-K723)/K723</f>
        <v>0</v>
      </c>
      <c r="P723" s="18">
        <f>G723-K723</f>
        <v>0</v>
      </c>
    </row>
    <row r="724" spans="1:16" x14ac:dyDescent="0.25">
      <c r="A724" s="1">
        <v>25100</v>
      </c>
      <c r="B724" s="1">
        <v>56110</v>
      </c>
      <c r="C724" s="1" t="s">
        <v>39</v>
      </c>
      <c r="G724" s="5">
        <v>10000</v>
      </c>
      <c r="H724" s="5">
        <v>10000</v>
      </c>
      <c r="I724" s="5">
        <v>10000</v>
      </c>
      <c r="J724" s="5">
        <f>[1]Expense!N353</f>
        <v>10858</v>
      </c>
      <c r="K724" s="5">
        <v>9000</v>
      </c>
      <c r="L724" s="5">
        <f>[2]Expense!K328</f>
        <v>8408.2900000000009</v>
      </c>
      <c r="M724" s="5">
        <v>4726.95</v>
      </c>
      <c r="N724" s="5">
        <v>5995.57</v>
      </c>
      <c r="O724" s="38">
        <f>(G724-K724)/K724</f>
        <v>0.1111111111111111</v>
      </c>
      <c r="P724" s="18">
        <f>G724-K724</f>
        <v>1000</v>
      </c>
    </row>
    <row r="725" spans="1:16" x14ac:dyDescent="0.25">
      <c r="C725" s="1" t="s">
        <v>594</v>
      </c>
      <c r="F725" s="1">
        <v>4515</v>
      </c>
      <c r="G725" s="5"/>
      <c r="H725" s="5"/>
      <c r="J725" s="5"/>
      <c r="O725" s="38"/>
      <c r="P725" s="18"/>
    </row>
    <row r="726" spans="1:16" x14ac:dyDescent="0.25">
      <c r="C726" s="1" t="s">
        <v>597</v>
      </c>
      <c r="D726" s="1">
        <v>20</v>
      </c>
      <c r="E726" s="1">
        <v>65</v>
      </c>
      <c r="F726" s="1">
        <v>1300</v>
      </c>
      <c r="G726" s="5"/>
      <c r="H726" s="5"/>
      <c r="J726" s="5"/>
      <c r="O726" s="38"/>
      <c r="P726" s="18"/>
    </row>
    <row r="727" spans="1:16" x14ac:dyDescent="0.25">
      <c r="C727" s="1" t="s">
        <v>596</v>
      </c>
      <c r="F727" s="1">
        <v>1000</v>
      </c>
      <c r="G727" s="5"/>
      <c r="H727" s="5"/>
      <c r="J727" s="5"/>
      <c r="O727" s="38"/>
      <c r="P727" s="18"/>
    </row>
    <row r="728" spans="1:16" x14ac:dyDescent="0.25">
      <c r="C728" s="1" t="s">
        <v>595</v>
      </c>
      <c r="F728" s="1">
        <v>3185</v>
      </c>
      <c r="G728" s="5"/>
      <c r="H728" s="5"/>
      <c r="O728" s="38"/>
      <c r="P728" s="18"/>
    </row>
    <row r="729" spans="1:16" x14ac:dyDescent="0.25">
      <c r="A729" s="1">
        <v>25100</v>
      </c>
      <c r="B729" s="1">
        <v>56130</v>
      </c>
      <c r="C729" s="1" t="s">
        <v>11</v>
      </c>
      <c r="G729" s="5">
        <v>1500</v>
      </c>
      <c r="H729" s="5">
        <v>1500</v>
      </c>
      <c r="I729" s="5">
        <v>1500</v>
      </c>
      <c r="J729" s="5">
        <f>[1]Expense!N354</f>
        <v>220</v>
      </c>
      <c r="K729" s="5">
        <v>1500</v>
      </c>
      <c r="L729" s="5">
        <f>[2]Expense!K329</f>
        <v>1883.28</v>
      </c>
      <c r="M729" s="5">
        <v>96.72</v>
      </c>
      <c r="N729" s="5">
        <v>613.30999999999995</v>
      </c>
      <c r="O729" s="38">
        <f>(G729-K729)/K729</f>
        <v>0</v>
      </c>
      <c r="P729" s="18">
        <f>G729-K729</f>
        <v>0</v>
      </c>
    </row>
    <row r="730" spans="1:16" x14ac:dyDescent="0.25">
      <c r="A730" s="1">
        <v>25100</v>
      </c>
      <c r="B730" s="1">
        <v>56200</v>
      </c>
      <c r="C730" s="1" t="s">
        <v>40</v>
      </c>
      <c r="G730" s="5">
        <v>10500</v>
      </c>
      <c r="H730" s="5">
        <v>10500</v>
      </c>
      <c r="I730" s="5">
        <v>10500</v>
      </c>
      <c r="J730" s="5">
        <f>[1]Expense!N355</f>
        <v>10173</v>
      </c>
      <c r="K730" s="5">
        <v>10000</v>
      </c>
      <c r="L730" s="5">
        <f>[2]Expense!K330</f>
        <v>9355.4500000000007</v>
      </c>
      <c r="M730" s="5">
        <f>7002.5+3025.61</f>
        <v>10028.11</v>
      </c>
      <c r="N730" s="5">
        <f>6990.76+4801.18</f>
        <v>11791.94</v>
      </c>
      <c r="O730" s="38">
        <f>(G730-K730)/K730</f>
        <v>0.05</v>
      </c>
      <c r="P730" s="18">
        <f>G730-K730</f>
        <v>500</v>
      </c>
    </row>
    <row r="731" spans="1:16" x14ac:dyDescent="0.25">
      <c r="A731" s="1">
        <v>25100</v>
      </c>
      <c r="B731" s="1">
        <v>56250</v>
      </c>
      <c r="C731" s="1" t="s">
        <v>41</v>
      </c>
      <c r="G731" s="59">
        <v>2000</v>
      </c>
      <c r="H731" s="5">
        <v>2500</v>
      </c>
      <c r="I731" s="5">
        <v>2500</v>
      </c>
      <c r="J731" s="5">
        <f>[1]Expense!N356</f>
        <v>1318</v>
      </c>
      <c r="K731" s="5">
        <v>2500</v>
      </c>
      <c r="L731" s="5">
        <f>[2]Expense!K331</f>
        <v>1880.64</v>
      </c>
      <c r="M731" s="5">
        <v>1983.01</v>
      </c>
      <c r="N731" s="5">
        <f>1956.69+84</f>
        <v>2040.69</v>
      </c>
      <c r="O731" s="38">
        <f>(G731-K731)/K731</f>
        <v>-0.2</v>
      </c>
      <c r="P731" s="18">
        <f>G731-K731</f>
        <v>-500</v>
      </c>
    </row>
    <row r="732" spans="1:16" x14ac:dyDescent="0.25">
      <c r="A732" s="1">
        <v>25100</v>
      </c>
      <c r="B732" s="1">
        <v>56680</v>
      </c>
      <c r="C732" s="1" t="s">
        <v>163</v>
      </c>
      <c r="G732" s="5">
        <v>20000</v>
      </c>
      <c r="H732" s="5">
        <v>20000</v>
      </c>
      <c r="I732" s="5">
        <v>20000</v>
      </c>
      <c r="J732" s="1">
        <v>12769</v>
      </c>
      <c r="K732" s="5">
        <v>15000</v>
      </c>
      <c r="L732" s="5">
        <f>[2]Expense!K332</f>
        <v>7220.31</v>
      </c>
      <c r="M732" s="5">
        <v>9272.81</v>
      </c>
      <c r="N732" s="5">
        <v>11366.97</v>
      </c>
      <c r="O732" s="38">
        <f>(G732-K732)/K732</f>
        <v>0.33333333333333331</v>
      </c>
      <c r="P732" s="18">
        <f>G732-K732</f>
        <v>5000</v>
      </c>
    </row>
    <row r="733" spans="1:16" s="8" customFormat="1" x14ac:dyDescent="0.25">
      <c r="A733" s="8" t="s">
        <v>12</v>
      </c>
      <c r="B733" s="8" t="s">
        <v>164</v>
      </c>
      <c r="G733" s="21">
        <f t="shared" ref="G733" si="63">SUM(G640:G732)</f>
        <v>1907510</v>
      </c>
      <c r="H733" s="21">
        <f t="shared" ref="H733:N733" si="64">SUM(H640:H732)</f>
        <v>1914010</v>
      </c>
      <c r="I733" s="9">
        <f t="shared" si="64"/>
        <v>1914010</v>
      </c>
      <c r="J733" s="9">
        <f>SUM(J639:J732)</f>
        <v>1731635.1700000002</v>
      </c>
      <c r="K733" s="9">
        <f>SUM(K639:K732)</f>
        <v>1667761</v>
      </c>
      <c r="L733" s="9">
        <f t="shared" si="64"/>
        <v>1573469.5300000003</v>
      </c>
      <c r="M733" s="9">
        <f t="shared" si="64"/>
        <v>1595113.1899999997</v>
      </c>
      <c r="N733" s="9">
        <f t="shared" si="64"/>
        <v>1699539.2999999996</v>
      </c>
      <c r="O733" s="39">
        <f>(G733-K733)/K733</f>
        <v>0.14375501046013187</v>
      </c>
      <c r="P733" s="40">
        <f>G733-K733</f>
        <v>239749</v>
      </c>
    </row>
    <row r="734" spans="1:16" x14ac:dyDescent="0.25">
      <c r="G734" s="19"/>
      <c r="J734" s="5"/>
      <c r="L734" s="9"/>
      <c r="O734" s="39"/>
      <c r="P734" s="40"/>
    </row>
    <row r="735" spans="1:16" s="8" customFormat="1" x14ac:dyDescent="0.25">
      <c r="A735" s="8">
        <v>25110</v>
      </c>
      <c r="B735" s="8" t="s">
        <v>165</v>
      </c>
      <c r="G735" s="21"/>
      <c r="H735" s="21"/>
      <c r="I735" s="9"/>
      <c r="J735" s="5">
        <f>[1]Expense!N360</f>
        <v>0</v>
      </c>
      <c r="K735" s="5">
        <f>[1]Expense!I360</f>
        <v>0</v>
      </c>
      <c r="L735" s="5"/>
      <c r="M735" s="9"/>
      <c r="N735" s="9"/>
      <c r="O735" s="39"/>
      <c r="P735" s="40"/>
    </row>
    <row r="736" spans="1:16" x14ac:dyDescent="0.25">
      <c r="A736" s="1">
        <v>25110</v>
      </c>
      <c r="B736" s="1">
        <v>51100</v>
      </c>
      <c r="C736" s="1" t="s">
        <v>15</v>
      </c>
      <c r="G736" s="5">
        <v>95800</v>
      </c>
      <c r="H736" s="5">
        <v>95800</v>
      </c>
      <c r="I736" s="5">
        <v>95800</v>
      </c>
      <c r="J736" s="5">
        <f>[1]Expense!N361</f>
        <v>79565.38</v>
      </c>
      <c r="K736" s="5">
        <f>[1]Expense!I361</f>
        <v>88100</v>
      </c>
      <c r="L736" s="5">
        <f>[2]Expense!K336</f>
        <v>57345.7</v>
      </c>
      <c r="M736" s="5">
        <f>56123.07+100</f>
        <v>56223.07</v>
      </c>
      <c r="N736" s="5">
        <f>74387.44+50</f>
        <v>74437.440000000002</v>
      </c>
      <c r="O736" s="38">
        <f>(G736-K736)/K736</f>
        <v>8.7400681044267875E-2</v>
      </c>
      <c r="P736" s="18">
        <f>G736-K736</f>
        <v>7700</v>
      </c>
    </row>
    <row r="737" spans="1:17" x14ac:dyDescent="0.25">
      <c r="A737" s="1">
        <v>25110</v>
      </c>
      <c r="B737" s="1">
        <v>51400</v>
      </c>
      <c r="C737" s="1" t="s">
        <v>18</v>
      </c>
      <c r="G737" s="5">
        <v>3000</v>
      </c>
      <c r="H737" s="5">
        <v>3000</v>
      </c>
      <c r="I737" s="5">
        <v>3000</v>
      </c>
      <c r="J737" s="5">
        <f>[1]Expense!N362</f>
        <v>3414.05</v>
      </c>
      <c r="K737" s="5">
        <f>[1]Expense!I362</f>
        <v>3000</v>
      </c>
      <c r="L737" s="5">
        <f>[2]Expense!K337</f>
        <v>3323.35</v>
      </c>
      <c r="M737" s="5">
        <v>1598.2</v>
      </c>
      <c r="N737" s="5">
        <v>2862.09</v>
      </c>
      <c r="O737" s="38">
        <f>(G737-K737)/K737</f>
        <v>0</v>
      </c>
      <c r="P737" s="18">
        <f>G737-K737</f>
        <v>0</v>
      </c>
    </row>
    <row r="738" spans="1:17" x14ac:dyDescent="0.25">
      <c r="A738" s="1">
        <v>25110</v>
      </c>
      <c r="B738" s="1">
        <v>51500</v>
      </c>
      <c r="C738" s="1" t="s">
        <v>214</v>
      </c>
      <c r="G738" s="60">
        <v>0</v>
      </c>
      <c r="H738" s="5">
        <v>8350</v>
      </c>
      <c r="I738" s="5">
        <v>8350</v>
      </c>
      <c r="J738" s="5">
        <f>[1]Expense!N363</f>
        <v>3057.27</v>
      </c>
      <c r="K738" s="5">
        <f>[1]Expense!I363</f>
        <v>0</v>
      </c>
      <c r="L738" s="5">
        <f>[2]Expense!K338</f>
        <v>1020.22</v>
      </c>
      <c r="M738" s="5">
        <v>173.09</v>
      </c>
      <c r="N738" s="5">
        <v>0</v>
      </c>
      <c r="O738" s="38"/>
      <c r="P738" s="18"/>
    </row>
    <row r="739" spans="1:17" x14ac:dyDescent="0.25">
      <c r="A739" s="1">
        <v>25110</v>
      </c>
      <c r="B739" s="1">
        <v>51520</v>
      </c>
      <c r="C739" s="1" t="s">
        <v>21</v>
      </c>
      <c r="G739" s="5"/>
      <c r="H739" s="5"/>
      <c r="J739" s="5">
        <f>[1]Expense!N364</f>
        <v>0</v>
      </c>
      <c r="K739" s="5">
        <f>[1]Expense!I364</f>
        <v>0</v>
      </c>
      <c r="L739" s="5">
        <f>[2]Expense!K339</f>
        <v>0</v>
      </c>
      <c r="M739" s="5">
        <v>550</v>
      </c>
      <c r="N739" s="5">
        <v>1000</v>
      </c>
      <c r="O739" s="38"/>
      <c r="P739" s="18">
        <f>G739-K739</f>
        <v>0</v>
      </c>
    </row>
    <row r="740" spans="1:17" x14ac:dyDescent="0.25">
      <c r="A740" s="1">
        <v>25110</v>
      </c>
      <c r="B740" s="1">
        <v>52100</v>
      </c>
      <c r="C740" s="1" t="s">
        <v>22</v>
      </c>
      <c r="G740" s="59">
        <f>SUM(F741:F742)</f>
        <v>44300</v>
      </c>
      <c r="H740" s="5">
        <v>27300</v>
      </c>
      <c r="I740" s="5">
        <v>27300</v>
      </c>
      <c r="J740" s="5">
        <f>[1]Expense!N365</f>
        <v>10458.64</v>
      </c>
      <c r="K740" s="5">
        <f>[1]Expense!I365</f>
        <v>20146</v>
      </c>
      <c r="L740" s="5">
        <f>[2]Expense!K340</f>
        <v>14595.85</v>
      </c>
      <c r="M740" s="5">
        <f>19347.39+69.69</f>
        <v>19417.079999999998</v>
      </c>
      <c r="N740" s="5">
        <f>27903.48+19.08</f>
        <v>27922.560000000001</v>
      </c>
      <c r="O740" s="38">
        <f>(G740-K740)/K740</f>
        <v>1.1989476819219695</v>
      </c>
      <c r="P740" s="18">
        <f>G740-K740</f>
        <v>24154</v>
      </c>
    </row>
    <row r="741" spans="1:17" x14ac:dyDescent="0.25">
      <c r="C741" s="1" t="s">
        <v>598</v>
      </c>
      <c r="F741" s="1">
        <v>43300</v>
      </c>
      <c r="G741" s="5"/>
      <c r="H741" s="5"/>
      <c r="J741" s="5"/>
      <c r="O741" s="38"/>
      <c r="P741" s="18"/>
    </row>
    <row r="742" spans="1:17" x14ac:dyDescent="0.25">
      <c r="C742" s="1" t="s">
        <v>599</v>
      </c>
      <c r="D742" s="1">
        <v>2</v>
      </c>
      <c r="E742" s="1">
        <v>500</v>
      </c>
      <c r="F742" s="1">
        <v>1000</v>
      </c>
      <c r="G742" s="5"/>
      <c r="H742" s="5"/>
      <c r="O742" s="38"/>
      <c r="P742" s="18"/>
    </row>
    <row r="743" spans="1:17" x14ac:dyDescent="0.25">
      <c r="A743" s="1">
        <v>25110</v>
      </c>
      <c r="B743" s="1">
        <v>52140</v>
      </c>
      <c r="C743" s="1" t="s">
        <v>23</v>
      </c>
      <c r="G743" s="19">
        <v>1169</v>
      </c>
      <c r="H743" s="19">
        <v>1169</v>
      </c>
      <c r="I743" s="19">
        <v>1169</v>
      </c>
      <c r="J743" s="5">
        <f>[1]Expense!N366</f>
        <v>0</v>
      </c>
      <c r="K743" s="5">
        <f>[1]Expense!I366</f>
        <v>948.6</v>
      </c>
      <c r="O743" s="38">
        <f>(G743-K743)/K743</f>
        <v>0.2323423993253215</v>
      </c>
      <c r="P743" s="18">
        <f>G743-K743</f>
        <v>220.39999999999998</v>
      </c>
    </row>
    <row r="744" spans="1:17" x14ac:dyDescent="0.25">
      <c r="A744" s="1">
        <v>25110</v>
      </c>
      <c r="B744" s="1">
        <v>52200</v>
      </c>
      <c r="C744" s="1" t="s">
        <v>24</v>
      </c>
      <c r="G744" s="5">
        <v>7600</v>
      </c>
      <c r="H744" s="5">
        <v>7600</v>
      </c>
      <c r="I744" s="5">
        <v>7600</v>
      </c>
      <c r="J744" s="5">
        <f>[1]Expense!N367</f>
        <v>6428.77</v>
      </c>
      <c r="K744" s="5">
        <f>[1]Expense!I367</f>
        <v>7000</v>
      </c>
      <c r="L744" s="5">
        <f>[2]Expense!K341</f>
        <v>4506.24</v>
      </c>
      <c r="M744" s="5">
        <f>4351.39+30.16</f>
        <v>4381.55</v>
      </c>
      <c r="N744" s="5">
        <f>5809.3+416.85</f>
        <v>6226.1500000000005</v>
      </c>
      <c r="O744" s="38"/>
      <c r="P744" s="18"/>
    </row>
    <row r="745" spans="1:17" x14ac:dyDescent="0.25">
      <c r="A745" s="1">
        <v>25110</v>
      </c>
      <c r="B745" s="1">
        <v>52230</v>
      </c>
      <c r="C745" s="1" t="s">
        <v>25</v>
      </c>
      <c r="G745" s="5">
        <v>13400</v>
      </c>
      <c r="H745" s="5">
        <v>13400</v>
      </c>
      <c r="I745" s="5">
        <v>13400</v>
      </c>
      <c r="J745" s="5">
        <f>[1]Expense!N368</f>
        <v>11626.2</v>
      </c>
      <c r="K745" s="5">
        <f>[1]Expense!I368</f>
        <v>12600</v>
      </c>
      <c r="L745" s="5">
        <f>[2]Expense!K342</f>
        <v>8530.07</v>
      </c>
      <c r="M745" s="5">
        <f>7522.29+11.17</f>
        <v>7533.46</v>
      </c>
      <c r="N745" s="5">
        <f>8740.68+5.58</f>
        <v>8746.26</v>
      </c>
      <c r="O745" s="38">
        <f>(G745-K745)/K745</f>
        <v>6.3492063492063489E-2</v>
      </c>
      <c r="P745" s="18">
        <f>G745-K745</f>
        <v>800</v>
      </c>
    </row>
    <row r="746" spans="1:17" x14ac:dyDescent="0.25">
      <c r="A746" s="1">
        <v>25110</v>
      </c>
      <c r="B746" s="1">
        <v>52250</v>
      </c>
      <c r="C746" s="1" t="s">
        <v>26</v>
      </c>
      <c r="G746" s="19">
        <v>98</v>
      </c>
      <c r="H746" s="19">
        <v>98</v>
      </c>
      <c r="I746" s="19">
        <v>98</v>
      </c>
      <c r="J746" s="5">
        <f>[1]Expense!N369</f>
        <v>53.71</v>
      </c>
      <c r="K746" s="5">
        <f>[1]Expense!I369</f>
        <v>54</v>
      </c>
      <c r="L746" s="5">
        <f>[2]Expense!K343</f>
        <v>59.62</v>
      </c>
      <c r="M746" s="5">
        <v>66.510000000000005</v>
      </c>
      <c r="N746" s="5">
        <v>66.510000000000005</v>
      </c>
      <c r="O746" s="38">
        <f>(G746-K746)/K746</f>
        <v>0.81481481481481477</v>
      </c>
      <c r="P746" s="18">
        <f>G746-K746</f>
        <v>44</v>
      </c>
    </row>
    <row r="747" spans="1:17" x14ac:dyDescent="0.25">
      <c r="A747" s="1">
        <v>25110</v>
      </c>
      <c r="B747" s="1">
        <v>52260</v>
      </c>
      <c r="C747" s="1" t="s">
        <v>27</v>
      </c>
      <c r="G747" s="19">
        <v>1892</v>
      </c>
      <c r="H747" s="19">
        <v>1892</v>
      </c>
      <c r="I747" s="19">
        <v>1892</v>
      </c>
      <c r="J747" s="5">
        <f>[1]Expense!N370</f>
        <v>1947.73</v>
      </c>
      <c r="K747" s="5">
        <f>[1]Expense!I370</f>
        <v>1948</v>
      </c>
      <c r="L747" s="5">
        <f>[2]Expense!K344</f>
        <v>3254</v>
      </c>
      <c r="M747" s="5">
        <v>1799</v>
      </c>
      <c r="N747" s="5">
        <v>2096</v>
      </c>
      <c r="O747" s="38"/>
      <c r="P747" s="18"/>
      <c r="Q747" s="18">
        <f>SUM(P736:P747)</f>
        <v>32918.400000000001</v>
      </c>
    </row>
    <row r="748" spans="1:17" x14ac:dyDescent="0.25">
      <c r="A748" s="1">
        <v>25110</v>
      </c>
      <c r="B748" s="1">
        <v>53360</v>
      </c>
      <c r="C748" s="1" t="s">
        <v>600</v>
      </c>
      <c r="G748" s="19">
        <f>29000+1900+1975</f>
        <v>32875</v>
      </c>
      <c r="H748" s="19">
        <f>29000+1900+1975</f>
        <v>32875</v>
      </c>
      <c r="I748" s="19">
        <f>29000+1900+1975</f>
        <v>32875</v>
      </c>
      <c r="J748" s="5"/>
      <c r="O748" s="38" t="e">
        <f>(G748-K748)/K748</f>
        <v>#DIV/0!</v>
      </c>
      <c r="P748" s="18">
        <f>G748-K748</f>
        <v>32875</v>
      </c>
    </row>
    <row r="749" spans="1:17" x14ac:dyDescent="0.25">
      <c r="C749" s="1" t="s">
        <v>601</v>
      </c>
      <c r="D749" s="1">
        <v>1</v>
      </c>
      <c r="E749" s="1">
        <v>29000</v>
      </c>
      <c r="F749" s="1">
        <v>29000</v>
      </c>
      <c r="G749" s="19"/>
      <c r="I749" s="19"/>
      <c r="J749" s="5"/>
      <c r="O749" s="38"/>
      <c r="P749" s="18"/>
    </row>
    <row r="750" spans="1:17" x14ac:dyDescent="0.25">
      <c r="C750" s="1" t="s">
        <v>602</v>
      </c>
      <c r="D750" s="1">
        <v>1</v>
      </c>
      <c r="E750" s="1">
        <v>1975</v>
      </c>
      <c r="F750" s="1">
        <v>1975</v>
      </c>
      <c r="G750" s="19"/>
      <c r="I750" s="19"/>
      <c r="J750" s="5"/>
      <c r="O750" s="38"/>
      <c r="P750" s="18"/>
    </row>
    <row r="751" spans="1:17" x14ac:dyDescent="0.25">
      <c r="C751" s="1" t="s">
        <v>603</v>
      </c>
      <c r="D751" s="1">
        <v>1</v>
      </c>
      <c r="E751" s="1">
        <v>1900</v>
      </c>
      <c r="F751" s="1">
        <v>1900</v>
      </c>
      <c r="G751" s="19"/>
      <c r="I751" s="19"/>
      <c r="O751" s="38"/>
      <c r="P751" s="18"/>
    </row>
    <row r="752" spans="1:17" x14ac:dyDescent="0.25">
      <c r="A752" s="1">
        <v>25110</v>
      </c>
      <c r="B752" s="1">
        <v>53412</v>
      </c>
      <c r="C752" s="1" t="s">
        <v>166</v>
      </c>
      <c r="D752" s="1">
        <v>1</v>
      </c>
      <c r="E752" s="1">
        <v>340</v>
      </c>
      <c r="F752" s="1">
        <f>D752*E752</f>
        <v>340</v>
      </c>
      <c r="G752" s="19">
        <v>4100</v>
      </c>
      <c r="H752" s="19">
        <v>4100</v>
      </c>
      <c r="I752" s="19">
        <v>4100</v>
      </c>
      <c r="J752" s="5">
        <f>[1]Expense!N371</f>
        <v>7351.69</v>
      </c>
      <c r="K752" s="5">
        <f>[1]Expense!I371</f>
        <v>7700</v>
      </c>
      <c r="L752" s="5">
        <f>[2]Expense!K345</f>
        <v>7218.28</v>
      </c>
      <c r="M752" s="5">
        <v>10262.02</v>
      </c>
      <c r="N752" s="5">
        <v>8422.64</v>
      </c>
      <c r="O752" s="38">
        <f>(G752-K752)/K752</f>
        <v>-0.46753246753246752</v>
      </c>
      <c r="P752" s="18">
        <f>G752-K752</f>
        <v>-3600</v>
      </c>
    </row>
    <row r="753" spans="1:16" x14ac:dyDescent="0.25">
      <c r="A753" s="1">
        <v>25110</v>
      </c>
      <c r="B753" s="1">
        <v>53420</v>
      </c>
      <c r="C753" s="1" t="s">
        <v>77</v>
      </c>
      <c r="G753" s="5"/>
      <c r="H753" s="5"/>
      <c r="J753" s="5">
        <f>[1]Expense!N372</f>
        <v>71551</v>
      </c>
      <c r="K753" s="5">
        <f>[1]Expense!I372</f>
        <v>66130</v>
      </c>
      <c r="L753" s="5">
        <f>[2]Expense!K346</f>
        <v>64558.84</v>
      </c>
      <c r="M753" s="5">
        <f>48291.58+3948.88</f>
        <v>52240.46</v>
      </c>
      <c r="N753" s="5">
        <f>36749.14+79.05</f>
        <v>36828.19</v>
      </c>
      <c r="O753" s="38"/>
      <c r="P753" s="18"/>
    </row>
    <row r="754" spans="1:16" x14ac:dyDescent="0.25">
      <c r="A754" s="1">
        <v>25110</v>
      </c>
      <c r="B754" s="1">
        <v>54100</v>
      </c>
      <c r="C754" s="1" t="s">
        <v>79</v>
      </c>
      <c r="G754" s="5">
        <v>225000</v>
      </c>
      <c r="H754" s="5">
        <v>225000</v>
      </c>
      <c r="I754" s="5">
        <v>225000</v>
      </c>
      <c r="J754" s="5">
        <f>[1]Expense!N373</f>
        <v>244993.65</v>
      </c>
      <c r="K754" s="5">
        <f>[1]Expense!I373</f>
        <v>175000</v>
      </c>
      <c r="L754" s="5">
        <f>[2]Expense!K347</f>
        <v>153707.04</v>
      </c>
      <c r="M754" s="5">
        <v>155986.44</v>
      </c>
      <c r="N754" s="5">
        <v>166374.92000000001</v>
      </c>
      <c r="O754" s="38">
        <f>(G754-K754)/K754</f>
        <v>0.2857142857142857</v>
      </c>
      <c r="P754" s="18">
        <f>G754-K754</f>
        <v>50000</v>
      </c>
    </row>
    <row r="755" spans="1:16" x14ac:dyDescent="0.25">
      <c r="A755" s="1">
        <v>25110</v>
      </c>
      <c r="B755" s="1">
        <v>54110</v>
      </c>
      <c r="C755" s="1" t="s">
        <v>80</v>
      </c>
      <c r="G755" s="59">
        <v>93000</v>
      </c>
      <c r="H755" s="5">
        <v>96000</v>
      </c>
      <c r="I755" s="5">
        <v>96000</v>
      </c>
      <c r="J755" s="5">
        <f>[1]Expense!N374</f>
        <v>92566.68</v>
      </c>
      <c r="K755" s="5">
        <f>[1]Expense!I374</f>
        <v>109673</v>
      </c>
      <c r="L755" s="5">
        <f>[2]Expense!K348</f>
        <v>107564.91</v>
      </c>
      <c r="M755" s="5">
        <v>86611.09</v>
      </c>
      <c r="N755" s="5">
        <v>86132.02</v>
      </c>
      <c r="O755" s="38">
        <f>(G755-K755)/K755</f>
        <v>-0.152024655111103</v>
      </c>
      <c r="P755" s="18">
        <f>G755-K755</f>
        <v>-16673</v>
      </c>
    </row>
    <row r="756" spans="1:16" x14ac:dyDescent="0.25">
      <c r="A756" s="1">
        <v>25110</v>
      </c>
      <c r="B756" s="1">
        <v>54120</v>
      </c>
      <c r="C756" s="1" t="s">
        <v>81</v>
      </c>
      <c r="G756" s="5">
        <v>34500</v>
      </c>
      <c r="H756" s="5">
        <v>34500</v>
      </c>
      <c r="I756" s="5">
        <v>34500</v>
      </c>
      <c r="J756" s="5">
        <f>[1]Expense!N375</f>
        <v>33288.07</v>
      </c>
      <c r="K756" s="5">
        <f>[1]Expense!I375</f>
        <v>34500</v>
      </c>
      <c r="L756" s="5">
        <f>[2]Expense!K349</f>
        <v>27042.43</v>
      </c>
      <c r="M756" s="5">
        <v>30275.07</v>
      </c>
      <c r="N756" s="5">
        <v>31422.1</v>
      </c>
      <c r="O756" s="38">
        <f>(G756-K756)/K756</f>
        <v>0</v>
      </c>
      <c r="P756" s="18">
        <f>G756-K756</f>
        <v>0</v>
      </c>
    </row>
    <row r="757" spans="1:16" x14ac:dyDescent="0.25">
      <c r="C757" s="1" t="s">
        <v>604</v>
      </c>
      <c r="G757" s="19"/>
      <c r="O757" s="38"/>
      <c r="P757" s="18"/>
    </row>
    <row r="758" spans="1:16" x14ac:dyDescent="0.25">
      <c r="A758" s="1">
        <v>25110</v>
      </c>
      <c r="B758" s="1">
        <v>54315</v>
      </c>
      <c r="C758" s="1" t="s">
        <v>167</v>
      </c>
      <c r="G758" s="19">
        <f>55000+26340</f>
        <v>81340</v>
      </c>
      <c r="H758" s="19">
        <f>55000+26340</f>
        <v>81340</v>
      </c>
      <c r="I758" s="19">
        <f>55000+26340</f>
        <v>81340</v>
      </c>
      <c r="J758" s="5">
        <f>([1]Expense!N376)</f>
        <v>68030</v>
      </c>
      <c r="K758" s="5">
        <v>50000</v>
      </c>
      <c r="L758" s="5">
        <f>[2]Expense!K350</f>
        <v>60847.81</v>
      </c>
      <c r="M758" s="5">
        <v>46916.36</v>
      </c>
      <c r="N758" s="5">
        <f>54440.85+521.21</f>
        <v>54962.06</v>
      </c>
      <c r="O758" s="38">
        <f>(G758-K758)/K758</f>
        <v>0.62680000000000002</v>
      </c>
      <c r="P758" s="18">
        <f>G758-K758</f>
        <v>31340</v>
      </c>
    </row>
    <row r="759" spans="1:16" x14ac:dyDescent="0.25">
      <c r="C759" s="1" t="s">
        <v>605</v>
      </c>
      <c r="F759" s="1">
        <v>55000</v>
      </c>
      <c r="G759" s="19"/>
      <c r="I759" s="19"/>
      <c r="J759" s="5"/>
      <c r="O759" s="38"/>
      <c r="P759" s="18"/>
    </row>
    <row r="760" spans="1:16" x14ac:dyDescent="0.25">
      <c r="C760" s="1" t="s">
        <v>606</v>
      </c>
      <c r="F760" s="1">
        <v>600</v>
      </c>
      <c r="G760" s="19"/>
      <c r="I760" s="19"/>
      <c r="J760" s="5"/>
      <c r="O760" s="38"/>
      <c r="P760" s="18"/>
    </row>
    <row r="761" spans="1:16" x14ac:dyDescent="0.25">
      <c r="C761" s="1" t="s">
        <v>607</v>
      </c>
      <c r="F761" s="1">
        <v>300</v>
      </c>
      <c r="G761" s="19"/>
      <c r="I761" s="19"/>
      <c r="J761" s="5"/>
      <c r="O761" s="38"/>
      <c r="P761" s="18"/>
    </row>
    <row r="762" spans="1:16" x14ac:dyDescent="0.25">
      <c r="C762" s="1" t="s">
        <v>608</v>
      </c>
      <c r="F762" s="1">
        <v>1000</v>
      </c>
      <c r="G762" s="19"/>
      <c r="I762" s="19"/>
      <c r="J762" s="5"/>
      <c r="O762" s="38"/>
      <c r="P762" s="18"/>
    </row>
    <row r="763" spans="1:16" x14ac:dyDescent="0.25">
      <c r="C763" s="1" t="s">
        <v>609</v>
      </c>
      <c r="F763" s="1">
        <v>600</v>
      </c>
      <c r="G763" s="19"/>
      <c r="I763" s="19"/>
      <c r="J763" s="5"/>
      <c r="O763" s="38"/>
      <c r="P763" s="18"/>
    </row>
    <row r="764" spans="1:16" x14ac:dyDescent="0.25">
      <c r="C764" s="1" t="s">
        <v>610</v>
      </c>
      <c r="F764" s="1">
        <v>2000</v>
      </c>
      <c r="G764" s="19"/>
      <c r="I764" s="19"/>
      <c r="J764" s="5"/>
      <c r="O764" s="38"/>
      <c r="P764" s="18"/>
    </row>
    <row r="765" spans="1:16" x14ac:dyDescent="0.25">
      <c r="C765" s="1" t="s">
        <v>611</v>
      </c>
      <c r="F765" s="1">
        <v>2500</v>
      </c>
      <c r="G765" s="19"/>
      <c r="I765" s="19"/>
      <c r="J765" s="5"/>
      <c r="O765" s="38"/>
      <c r="P765" s="18"/>
    </row>
    <row r="766" spans="1:16" x14ac:dyDescent="0.25">
      <c r="C766" s="1" t="s">
        <v>612</v>
      </c>
      <c r="F766" s="1">
        <v>2300</v>
      </c>
      <c r="G766" s="19"/>
      <c r="I766" s="19"/>
      <c r="J766" s="5"/>
      <c r="O766" s="38"/>
      <c r="P766" s="18"/>
    </row>
    <row r="767" spans="1:16" x14ac:dyDescent="0.25">
      <c r="C767" s="1" t="s">
        <v>613</v>
      </c>
      <c r="F767" s="1">
        <v>400</v>
      </c>
      <c r="G767" s="19"/>
      <c r="I767" s="19"/>
      <c r="J767" s="5"/>
      <c r="O767" s="38"/>
      <c r="P767" s="18"/>
    </row>
    <row r="768" spans="1:16" x14ac:dyDescent="0.25">
      <c r="C768" s="1" t="s">
        <v>614</v>
      </c>
      <c r="F768" s="1">
        <v>100</v>
      </c>
      <c r="G768" s="19"/>
      <c r="I768" s="19"/>
      <c r="J768" s="5"/>
      <c r="O768" s="38"/>
      <c r="P768" s="18"/>
    </row>
    <row r="769" spans="1:16" x14ac:dyDescent="0.25">
      <c r="C769" s="1" t="s">
        <v>615</v>
      </c>
      <c r="F769" s="1">
        <v>1740</v>
      </c>
      <c r="G769" s="19"/>
      <c r="I769" s="19"/>
      <c r="J769" s="5"/>
      <c r="O769" s="38"/>
      <c r="P769" s="18"/>
    </row>
    <row r="770" spans="1:16" x14ac:dyDescent="0.25">
      <c r="C770" s="1" t="s">
        <v>616</v>
      </c>
      <c r="F770" s="1">
        <v>3500</v>
      </c>
      <c r="G770" s="19"/>
      <c r="I770" s="19"/>
      <c r="J770" s="5"/>
      <c r="O770" s="38"/>
      <c r="P770" s="18"/>
    </row>
    <row r="771" spans="1:16" x14ac:dyDescent="0.25">
      <c r="C771" s="1" t="s">
        <v>617</v>
      </c>
      <c r="F771" s="1">
        <v>1500</v>
      </c>
      <c r="G771" s="19"/>
      <c r="I771" s="19"/>
      <c r="J771" s="5"/>
      <c r="O771" s="38"/>
      <c r="P771" s="18"/>
    </row>
    <row r="772" spans="1:16" x14ac:dyDescent="0.25">
      <c r="C772" s="1" t="s">
        <v>618</v>
      </c>
      <c r="F772" s="1">
        <v>1800</v>
      </c>
      <c r="G772" s="19"/>
      <c r="I772" s="19"/>
      <c r="J772" s="5"/>
      <c r="O772" s="38"/>
      <c r="P772" s="18"/>
    </row>
    <row r="773" spans="1:16" x14ac:dyDescent="0.25">
      <c r="C773" s="1" t="s">
        <v>619</v>
      </c>
      <c r="F773" s="1">
        <v>2000</v>
      </c>
      <c r="G773" s="19"/>
      <c r="I773" s="19"/>
      <c r="J773" s="5"/>
      <c r="O773" s="38"/>
      <c r="P773" s="18"/>
    </row>
    <row r="774" spans="1:16" x14ac:dyDescent="0.25">
      <c r="C774" s="1" t="s">
        <v>620</v>
      </c>
      <c r="F774" s="1">
        <v>1800</v>
      </c>
      <c r="G774" s="19"/>
      <c r="I774" s="19"/>
      <c r="J774" s="5"/>
      <c r="O774" s="38"/>
      <c r="P774" s="18"/>
    </row>
    <row r="775" spans="1:16" x14ac:dyDescent="0.25">
      <c r="C775" s="1" t="s">
        <v>621</v>
      </c>
      <c r="F775" s="1">
        <v>2400</v>
      </c>
      <c r="G775" s="19"/>
      <c r="I775" s="19"/>
      <c r="J775" s="5"/>
      <c r="O775" s="38"/>
      <c r="P775" s="18"/>
    </row>
    <row r="776" spans="1:16" x14ac:dyDescent="0.25">
      <c r="C776" s="1" t="s">
        <v>622</v>
      </c>
      <c r="F776" s="1">
        <v>800</v>
      </c>
      <c r="G776" s="19"/>
      <c r="I776" s="19"/>
      <c r="J776" s="5"/>
      <c r="O776" s="38"/>
      <c r="P776" s="18"/>
    </row>
    <row r="777" spans="1:16" x14ac:dyDescent="0.25">
      <c r="C777" s="1" t="s">
        <v>623</v>
      </c>
      <c r="F777" s="1">
        <v>1000</v>
      </c>
      <c r="G777" s="19"/>
      <c r="I777" s="19"/>
      <c r="J777" s="5"/>
      <c r="O777" s="38"/>
      <c r="P777" s="18"/>
    </row>
    <row r="778" spans="1:16" x14ac:dyDescent="0.25">
      <c r="A778" s="1">
        <v>25110</v>
      </c>
      <c r="B778" s="1">
        <v>54430</v>
      </c>
      <c r="C778" s="1" t="s">
        <v>236</v>
      </c>
      <c r="G778" s="19">
        <v>1800</v>
      </c>
      <c r="H778" s="19">
        <v>1800</v>
      </c>
      <c r="I778" s="19">
        <v>1800</v>
      </c>
      <c r="O778" s="38" t="e">
        <f>(G778-K778)/K778</f>
        <v>#DIV/0!</v>
      </c>
      <c r="P778" s="18">
        <f>G778-K778</f>
        <v>1800</v>
      </c>
    </row>
    <row r="779" spans="1:16" x14ac:dyDescent="0.25">
      <c r="A779" s="1">
        <v>25110</v>
      </c>
      <c r="B779" s="1">
        <v>54500</v>
      </c>
      <c r="C779" s="1" t="s">
        <v>84</v>
      </c>
      <c r="G779" s="19">
        <v>1000</v>
      </c>
      <c r="H779" s="19">
        <v>1000</v>
      </c>
      <c r="I779" s="19">
        <v>1000</v>
      </c>
      <c r="J779" s="4">
        <f>[1]Expense!N377</f>
        <v>810.28</v>
      </c>
      <c r="K779" s="5">
        <v>1000</v>
      </c>
      <c r="L779" s="5">
        <f>[2]Expense!K351</f>
        <v>546.95000000000005</v>
      </c>
      <c r="M779" s="5">
        <f>551.84+665.92</f>
        <v>1217.76</v>
      </c>
      <c r="N779" s="5">
        <v>410.99</v>
      </c>
      <c r="O779" s="38">
        <f>(G779-K779)/K779</f>
        <v>0</v>
      </c>
      <c r="P779" s="18">
        <f>G779-K779</f>
        <v>0</v>
      </c>
    </row>
    <row r="780" spans="1:16" x14ac:dyDescent="0.25">
      <c r="A780" s="1">
        <v>25110</v>
      </c>
      <c r="B780" s="1">
        <v>54800</v>
      </c>
      <c r="C780" s="1" t="s">
        <v>36</v>
      </c>
      <c r="G780" s="19">
        <v>28065</v>
      </c>
      <c r="H780" s="19">
        <v>28065</v>
      </c>
      <c r="I780" s="19">
        <v>28065</v>
      </c>
      <c r="J780" s="4">
        <f>[1]Expense!N378</f>
        <v>23823.98</v>
      </c>
      <c r="K780" s="5">
        <v>23824</v>
      </c>
      <c r="L780" s="5">
        <f>[2]Expense!K352</f>
        <v>21658.22</v>
      </c>
      <c r="M780" s="5">
        <v>20241.240000000002</v>
      </c>
      <c r="N780" s="5">
        <v>18917.02</v>
      </c>
      <c r="O780" s="38">
        <f>(G780-K780)/K780</f>
        <v>0.17801376762928139</v>
      </c>
      <c r="P780" s="18">
        <f>G780-K780</f>
        <v>4241</v>
      </c>
    </row>
    <row r="781" spans="1:16" x14ac:dyDescent="0.25">
      <c r="A781" s="1">
        <v>25110</v>
      </c>
      <c r="B781" s="1">
        <v>56115</v>
      </c>
      <c r="C781" s="1" t="s">
        <v>168</v>
      </c>
      <c r="G781" s="5">
        <v>400</v>
      </c>
      <c r="H781" s="5">
        <v>400</v>
      </c>
      <c r="I781" s="5">
        <v>400</v>
      </c>
      <c r="J781" s="5">
        <f>[1]Expense!N379</f>
        <v>175.91</v>
      </c>
      <c r="K781" s="5">
        <v>400</v>
      </c>
      <c r="L781" s="5">
        <f>[2]Expense!K353</f>
        <v>114.98</v>
      </c>
      <c r="M781" s="5">
        <v>299.79000000000002</v>
      </c>
      <c r="N781" s="5">
        <v>179.8</v>
      </c>
      <c r="O781" s="38">
        <f>(G781-K781)/K781</f>
        <v>0</v>
      </c>
      <c r="P781" s="18">
        <f>G781-K781</f>
        <v>0</v>
      </c>
    </row>
    <row r="782" spans="1:16" x14ac:dyDescent="0.25">
      <c r="A782" s="1">
        <v>25110</v>
      </c>
      <c r="B782" s="1">
        <v>56350</v>
      </c>
      <c r="C782" s="1" t="s">
        <v>113</v>
      </c>
      <c r="G782" s="5">
        <v>2000</v>
      </c>
      <c r="H782" s="5">
        <v>2000</v>
      </c>
      <c r="I782" s="5">
        <v>2000</v>
      </c>
      <c r="J782" s="5">
        <f>[1]Expense!N380</f>
        <v>2277.35</v>
      </c>
      <c r="K782" s="5">
        <v>1500</v>
      </c>
      <c r="L782" s="5">
        <f>[2]Expense!K354</f>
        <v>6079.41</v>
      </c>
      <c r="M782" s="5">
        <v>499.84</v>
      </c>
      <c r="N782" s="5">
        <v>1005.94</v>
      </c>
      <c r="O782" s="38">
        <f>(G782-K782)/K782</f>
        <v>0.33333333333333331</v>
      </c>
      <c r="P782" s="18">
        <f>G782-K782</f>
        <v>500</v>
      </c>
    </row>
    <row r="783" spans="1:16" x14ac:dyDescent="0.25">
      <c r="A783" s="1">
        <v>25110</v>
      </c>
      <c r="B783" s="1">
        <v>56600</v>
      </c>
      <c r="C783" s="1" t="s">
        <v>87</v>
      </c>
      <c r="G783" s="19">
        <v>3000</v>
      </c>
      <c r="H783" s="19">
        <v>3000</v>
      </c>
      <c r="I783" s="19">
        <v>3000</v>
      </c>
      <c r="J783" s="5">
        <f>[1]Expense!$J$381</f>
        <v>9484.2199999999993</v>
      </c>
      <c r="K783" s="5">
        <v>2000</v>
      </c>
      <c r="L783" s="5">
        <f>[2]Expense!K355</f>
        <v>3196.34</v>
      </c>
      <c r="M783" s="5">
        <v>4377.5600000000004</v>
      </c>
      <c r="N783" s="5">
        <v>1017.68</v>
      </c>
      <c r="O783" s="38"/>
      <c r="P783" s="18"/>
    </row>
    <row r="784" spans="1:16" x14ac:dyDescent="0.25">
      <c r="A784" s="1">
        <v>25110</v>
      </c>
      <c r="B784" s="1">
        <v>56680</v>
      </c>
      <c r="C784" s="1" t="s">
        <v>43</v>
      </c>
      <c r="G784" s="5">
        <v>3000</v>
      </c>
      <c r="H784" s="5">
        <v>3000</v>
      </c>
      <c r="I784" s="5">
        <v>7500</v>
      </c>
      <c r="J784" s="5"/>
      <c r="L784" s="5">
        <f>[2]Expense!K356</f>
        <v>0</v>
      </c>
      <c r="M784" s="5">
        <f>4436.14+123.46</f>
        <v>4559.6000000000004</v>
      </c>
      <c r="N784" s="5">
        <f>1803.84+986</f>
        <v>2789.84</v>
      </c>
      <c r="O784" s="38" t="e">
        <f>(G784-K784)/K784</f>
        <v>#DIV/0!</v>
      </c>
      <c r="P784" s="18">
        <f>G784-K784</f>
        <v>3000</v>
      </c>
    </row>
    <row r="785" spans="1:16" hidden="1" x14ac:dyDescent="0.25">
      <c r="C785" s="1" t="s">
        <v>624</v>
      </c>
      <c r="F785" s="1">
        <v>7500</v>
      </c>
      <c r="G785" s="19"/>
      <c r="J785" s="5"/>
      <c r="O785" s="38" t="e">
        <f>(G785-K785)/K785</f>
        <v>#DIV/0!</v>
      </c>
      <c r="P785" s="18">
        <f>G785-K785</f>
        <v>0</v>
      </c>
    </row>
    <row r="786" spans="1:16" x14ac:dyDescent="0.25">
      <c r="C786" s="1" t="s">
        <v>676</v>
      </c>
      <c r="F786" s="1">
        <v>3000</v>
      </c>
      <c r="G786" s="19"/>
      <c r="O786" s="38"/>
      <c r="P786" s="18"/>
    </row>
    <row r="787" spans="1:16" x14ac:dyDescent="0.25">
      <c r="A787" s="1">
        <v>25110</v>
      </c>
      <c r="B787" s="1">
        <v>57000</v>
      </c>
      <c r="C787" s="1" t="s">
        <v>234</v>
      </c>
      <c r="G787" s="5">
        <v>258000</v>
      </c>
      <c r="H787" s="5">
        <v>258000</v>
      </c>
      <c r="I787" s="5">
        <v>258000</v>
      </c>
      <c r="O787" s="38" t="e">
        <f>(G787-K787)/K787</f>
        <v>#DIV/0!</v>
      </c>
      <c r="P787" s="18">
        <f>G787-K787</f>
        <v>258000</v>
      </c>
    </row>
    <row r="788" spans="1:16" x14ac:dyDescent="0.25">
      <c r="C788" s="1" t="s">
        <v>625</v>
      </c>
      <c r="F788" s="1">
        <v>150000</v>
      </c>
      <c r="G788" s="19"/>
      <c r="O788" s="38"/>
      <c r="P788" s="18"/>
    </row>
    <row r="789" spans="1:16" x14ac:dyDescent="0.25">
      <c r="C789" s="1" t="s">
        <v>626</v>
      </c>
      <c r="F789" s="1">
        <v>108000</v>
      </c>
      <c r="G789" s="19"/>
      <c r="J789" s="5"/>
      <c r="O789" s="38"/>
      <c r="P789" s="18"/>
    </row>
    <row r="790" spans="1:16" x14ac:dyDescent="0.25">
      <c r="A790" s="1">
        <v>25110</v>
      </c>
      <c r="B790" s="1">
        <v>57200</v>
      </c>
      <c r="C790" s="1" t="s">
        <v>221</v>
      </c>
      <c r="G790" s="59">
        <v>90000</v>
      </c>
      <c r="H790" s="19">
        <f>SUM(F791:F800)</f>
        <v>183400</v>
      </c>
      <c r="I790" s="5">
        <v>181500</v>
      </c>
      <c r="J790" s="5">
        <f>[1]Expense!N382</f>
        <v>0</v>
      </c>
      <c r="K790" s="5">
        <f>[1]Expense!I382</f>
        <v>4900</v>
      </c>
      <c r="L790" s="5">
        <f>[2]Expense!K356</f>
        <v>0</v>
      </c>
      <c r="M790" s="5">
        <v>36431.24</v>
      </c>
      <c r="N790" s="5">
        <v>65891.25</v>
      </c>
      <c r="O790" s="38">
        <f>(G790-K790)/K790</f>
        <v>17.367346938775512</v>
      </c>
      <c r="P790" s="18">
        <f>G790-K790</f>
        <v>85100</v>
      </c>
    </row>
    <row r="791" spans="1:16" hidden="1" x14ac:dyDescent="0.25">
      <c r="C791" s="1" t="s">
        <v>627</v>
      </c>
      <c r="D791" s="1">
        <v>2</v>
      </c>
      <c r="E791" s="1">
        <v>25000</v>
      </c>
      <c r="F791" s="61">
        <v>50000</v>
      </c>
      <c r="H791" s="1"/>
      <c r="J791" s="5"/>
      <c r="O791" s="38" t="e">
        <f>(G791-K791)/K791</f>
        <v>#DIV/0!</v>
      </c>
      <c r="P791" s="18">
        <f>G791-K791</f>
        <v>0</v>
      </c>
    </row>
    <row r="792" spans="1:16" x14ac:dyDescent="0.25">
      <c r="C792" s="1" t="s">
        <v>628</v>
      </c>
      <c r="D792" s="1">
        <v>5</v>
      </c>
      <c r="E792" s="1">
        <v>2200</v>
      </c>
      <c r="F792" s="1">
        <v>11000</v>
      </c>
      <c r="H792" s="1"/>
      <c r="J792" s="5"/>
      <c r="O792" s="38"/>
      <c r="P792" s="18"/>
    </row>
    <row r="793" spans="1:16" x14ac:dyDescent="0.25">
      <c r="C793" s="1" t="s">
        <v>629</v>
      </c>
      <c r="H793" s="1"/>
      <c r="J793" s="5"/>
      <c r="O793" s="38"/>
      <c r="P793" s="18"/>
    </row>
    <row r="794" spans="1:16" hidden="1" x14ac:dyDescent="0.25">
      <c r="C794" s="1" t="s">
        <v>633</v>
      </c>
      <c r="D794" s="1">
        <v>3</v>
      </c>
      <c r="E794" s="1">
        <v>8000</v>
      </c>
      <c r="F794" s="61">
        <v>24000</v>
      </c>
      <c r="H794" s="1"/>
      <c r="J794" s="5"/>
      <c r="O794" s="38"/>
      <c r="P794" s="18"/>
    </row>
    <row r="795" spans="1:16" x14ac:dyDescent="0.25">
      <c r="C795" s="1" t="s">
        <v>630</v>
      </c>
      <c r="D795" s="1">
        <v>2</v>
      </c>
      <c r="E795" s="1">
        <v>10000</v>
      </c>
      <c r="F795" s="1">
        <v>20000</v>
      </c>
      <c r="H795" s="1"/>
      <c r="J795" s="5"/>
      <c r="O795" s="38"/>
      <c r="P795" s="18"/>
    </row>
    <row r="796" spans="1:16" hidden="1" x14ac:dyDescent="0.25">
      <c r="C796" s="1" t="s">
        <v>631</v>
      </c>
      <c r="D796" s="1" t="s">
        <v>634</v>
      </c>
      <c r="F796" s="61">
        <v>20000</v>
      </c>
      <c r="H796" s="1"/>
      <c r="J796" s="5"/>
      <c r="O796" s="38"/>
      <c r="P796" s="18"/>
    </row>
    <row r="797" spans="1:16" x14ac:dyDescent="0.25">
      <c r="C797" s="1" t="s">
        <v>632</v>
      </c>
      <c r="D797" s="1">
        <v>1</v>
      </c>
      <c r="E797" s="1">
        <v>31500</v>
      </c>
      <c r="F797" s="1">
        <v>31500</v>
      </c>
      <c r="H797" s="1"/>
      <c r="J797" s="5"/>
      <c r="O797" s="38"/>
      <c r="P797" s="18"/>
    </row>
    <row r="798" spans="1:16" hidden="1" x14ac:dyDescent="0.25">
      <c r="C798" s="1" t="s">
        <v>635</v>
      </c>
      <c r="D798" s="1">
        <v>1</v>
      </c>
      <c r="E798" s="1">
        <v>15000</v>
      </c>
      <c r="F798" s="61">
        <v>15000</v>
      </c>
      <c r="H798" s="1"/>
      <c r="J798" s="5"/>
      <c r="O798" s="38"/>
      <c r="P798" s="18"/>
    </row>
    <row r="799" spans="1:16" x14ac:dyDescent="0.25">
      <c r="C799" s="1" t="s">
        <v>675</v>
      </c>
      <c r="D799" s="1">
        <v>0.5</v>
      </c>
      <c r="E799" s="1">
        <v>18000</v>
      </c>
      <c r="F799" s="1">
        <v>9000</v>
      </c>
      <c r="H799" s="1"/>
      <c r="J799" s="5"/>
      <c r="O799" s="38"/>
      <c r="P799" s="18"/>
    </row>
    <row r="800" spans="1:16" x14ac:dyDescent="0.25">
      <c r="C800" s="1" t="s">
        <v>677</v>
      </c>
      <c r="D800" s="1">
        <v>1</v>
      </c>
      <c r="E800" s="1">
        <v>2900</v>
      </c>
      <c r="F800" s="1">
        <v>2900</v>
      </c>
      <c r="H800" s="1"/>
      <c r="O800" s="38"/>
      <c r="P800" s="18"/>
    </row>
    <row r="801" spans="1:16" x14ac:dyDescent="0.25">
      <c r="A801" s="1">
        <v>25110</v>
      </c>
      <c r="B801" s="1">
        <v>57500</v>
      </c>
      <c r="C801" s="1" t="s">
        <v>169</v>
      </c>
      <c r="G801" s="5">
        <v>2500</v>
      </c>
      <c r="H801" s="5">
        <v>2500</v>
      </c>
      <c r="I801" s="5">
        <v>2500</v>
      </c>
      <c r="J801" s="5">
        <f>[1]Expense!$N$383</f>
        <v>3536.68</v>
      </c>
      <c r="K801" s="5">
        <f>[1]Expense!I383</f>
        <v>2500</v>
      </c>
      <c r="L801" s="5">
        <f>[2]Expense!K357</f>
        <v>2268.16</v>
      </c>
      <c r="M801" s="5">
        <v>16893.55</v>
      </c>
      <c r="N801" s="5">
        <f>10935.39+842.85</f>
        <v>11778.24</v>
      </c>
      <c r="O801" s="38">
        <f>(G801-K801)/K801</f>
        <v>0</v>
      </c>
      <c r="P801" s="18">
        <f>G801-K801</f>
        <v>0</v>
      </c>
    </row>
    <row r="802" spans="1:16" x14ac:dyDescent="0.25">
      <c r="C802" s="1" t="s">
        <v>636</v>
      </c>
      <c r="G802" s="19"/>
      <c r="O802" s="38"/>
      <c r="P802" s="18"/>
    </row>
    <row r="803" spans="1:16" x14ac:dyDescent="0.25">
      <c r="A803" s="1">
        <v>25110</v>
      </c>
      <c r="B803" s="1">
        <v>57600</v>
      </c>
      <c r="C803" s="1" t="s">
        <v>114</v>
      </c>
      <c r="G803" s="19"/>
      <c r="L803" s="5">
        <f>[2]Expense!K358</f>
        <v>0</v>
      </c>
      <c r="M803" s="5">
        <v>8176.38</v>
      </c>
      <c r="N803" s="5">
        <v>8176.38</v>
      </c>
      <c r="O803" s="38"/>
      <c r="P803" s="18">
        <f>G803-K803</f>
        <v>0</v>
      </c>
    </row>
    <row r="804" spans="1:16" s="8" customFormat="1" x14ac:dyDescent="0.25">
      <c r="A804" s="8" t="s">
        <v>12</v>
      </c>
      <c r="B804" s="8" t="s">
        <v>170</v>
      </c>
      <c r="G804" s="21">
        <f t="shared" ref="G804:N804" si="65">SUM(G736:G803)</f>
        <v>1027839</v>
      </c>
      <c r="H804" s="21">
        <f t="shared" si="65"/>
        <v>1115589</v>
      </c>
      <c r="I804" s="9">
        <f t="shared" si="65"/>
        <v>1118189</v>
      </c>
      <c r="J804" s="9">
        <f>SUM(J735:J801)</f>
        <v>674441.26</v>
      </c>
      <c r="K804" s="9">
        <f>SUM(K735:K802)</f>
        <v>612923.6</v>
      </c>
      <c r="L804" s="9">
        <f t="shared" si="65"/>
        <v>547438.42000000004</v>
      </c>
      <c r="M804" s="9">
        <f t="shared" si="65"/>
        <v>566730.36</v>
      </c>
      <c r="N804" s="9">
        <f t="shared" si="65"/>
        <v>617666.07999999996</v>
      </c>
      <c r="O804" s="39">
        <f>(G804-K804)/K804</f>
        <v>0.67694472851102494</v>
      </c>
      <c r="P804" s="40">
        <f>G804-K804</f>
        <v>414915.4</v>
      </c>
    </row>
    <row r="805" spans="1:16" x14ac:dyDescent="0.25">
      <c r="G805" s="19"/>
      <c r="J805" s="5"/>
      <c r="L805" s="9"/>
      <c r="O805" s="38"/>
      <c r="P805" s="18"/>
    </row>
    <row r="806" spans="1:16" s="8" customFormat="1" x14ac:dyDescent="0.25">
      <c r="A806" s="8">
        <v>25120</v>
      </c>
      <c r="B806" s="8" t="s">
        <v>171</v>
      </c>
      <c r="G806" s="21"/>
      <c r="H806" s="21"/>
      <c r="I806" s="9"/>
      <c r="J806" s="5">
        <f>[1]Expense!N387</f>
        <v>0</v>
      </c>
      <c r="K806" s="5"/>
      <c r="L806" s="5"/>
      <c r="M806" s="9"/>
      <c r="N806" s="9"/>
      <c r="O806" s="38"/>
      <c r="P806" s="18"/>
    </row>
    <row r="807" spans="1:16" x14ac:dyDescent="0.25">
      <c r="A807" s="1">
        <v>25120</v>
      </c>
      <c r="B807" s="1">
        <v>51100</v>
      </c>
      <c r="C807" s="1" t="s">
        <v>15</v>
      </c>
      <c r="G807" s="5">
        <v>141500</v>
      </c>
      <c r="H807" s="5">
        <v>141500</v>
      </c>
      <c r="I807" s="5">
        <v>141500</v>
      </c>
      <c r="J807" s="5">
        <f>[1]Expense!N388</f>
        <v>118096.38</v>
      </c>
      <c r="K807" s="5">
        <f>[1]Expense!I388</f>
        <v>152900</v>
      </c>
      <c r="L807" s="5">
        <f>[2]Expense!K362</f>
        <v>119124.94</v>
      </c>
      <c r="M807" s="5">
        <f>114244.77+250</f>
        <v>114494.77</v>
      </c>
      <c r="N807" s="5">
        <f>122714.27+150</f>
        <v>122864.27</v>
      </c>
      <c r="O807" s="38">
        <f>(G807-K807)/K807</f>
        <v>-7.4558534990189662E-2</v>
      </c>
      <c r="P807" s="18">
        <f>G807-K807</f>
        <v>-11400</v>
      </c>
    </row>
    <row r="808" spans="1:16" x14ac:dyDescent="0.25">
      <c r="A808" s="1">
        <v>25120</v>
      </c>
      <c r="B808" s="1">
        <v>51400</v>
      </c>
      <c r="C808" s="1" t="s">
        <v>18</v>
      </c>
      <c r="G808" s="5">
        <v>3500</v>
      </c>
      <c r="H808" s="5">
        <v>3500</v>
      </c>
      <c r="I808" s="5">
        <v>3500</v>
      </c>
      <c r="J808" s="5">
        <f>[1]Expense!N389</f>
        <v>3158.75</v>
      </c>
      <c r="K808" s="5">
        <f>[1]Expense!I389</f>
        <v>3500</v>
      </c>
      <c r="L808" s="5">
        <f>[2]Expense!K363</f>
        <v>1410.26</v>
      </c>
      <c r="M808" s="5">
        <v>4614.8999999999996</v>
      </c>
      <c r="N808" s="5">
        <v>0</v>
      </c>
      <c r="O808" s="38">
        <f>(G808-K808)/K808</f>
        <v>0</v>
      </c>
      <c r="P808" s="18">
        <f>G808-K808</f>
        <v>0</v>
      </c>
    </row>
    <row r="809" spans="1:16" x14ac:dyDescent="0.25">
      <c r="A809" s="1">
        <v>25120</v>
      </c>
      <c r="B809" s="1">
        <v>51500</v>
      </c>
      <c r="C809" s="1" t="s">
        <v>61</v>
      </c>
      <c r="G809" s="59">
        <v>4970</v>
      </c>
      <c r="H809" s="5">
        <v>15025</v>
      </c>
      <c r="I809" s="5">
        <v>15025</v>
      </c>
      <c r="J809" s="5">
        <f>[1]Expense!N390</f>
        <v>10610.7</v>
      </c>
      <c r="K809" s="5">
        <f>[1]Expense!I390</f>
        <v>6000</v>
      </c>
      <c r="L809" s="5">
        <f>[2]Expense!K364</f>
        <v>6098.1</v>
      </c>
      <c r="M809" s="5">
        <v>115.38</v>
      </c>
      <c r="N809" s="5">
        <v>0</v>
      </c>
      <c r="O809" s="38">
        <f>(G809-K809)/K809</f>
        <v>-0.17166666666666666</v>
      </c>
      <c r="P809" s="18">
        <f>G809-K809</f>
        <v>-1030</v>
      </c>
    </row>
    <row r="810" spans="1:16" x14ac:dyDescent="0.25">
      <c r="A810" s="1">
        <v>25120</v>
      </c>
      <c r="B810" s="1">
        <v>51510</v>
      </c>
      <c r="C810" s="1" t="s">
        <v>20</v>
      </c>
      <c r="G810" s="5"/>
      <c r="H810" s="5"/>
      <c r="J810" s="5">
        <f>[1]Expense!N391</f>
        <v>0</v>
      </c>
      <c r="K810" s="5">
        <f>[1]Expense!I391</f>
        <v>0</v>
      </c>
      <c r="L810" s="5">
        <f>[2]Expense!K365</f>
        <v>506.64</v>
      </c>
      <c r="M810" s="5">
        <v>0</v>
      </c>
      <c r="N810" s="5">
        <v>410.4</v>
      </c>
      <c r="O810" s="38"/>
      <c r="P810" s="18"/>
    </row>
    <row r="811" spans="1:16" x14ac:dyDescent="0.25">
      <c r="A811" s="1">
        <v>25120</v>
      </c>
      <c r="B811" s="1">
        <v>51520</v>
      </c>
      <c r="C811" s="1" t="s">
        <v>21</v>
      </c>
      <c r="G811" s="5">
        <v>1000</v>
      </c>
      <c r="H811" s="5">
        <v>1000</v>
      </c>
      <c r="I811" s="5">
        <v>1000</v>
      </c>
      <c r="J811" s="5">
        <f>[1]Expense!N392</f>
        <v>650</v>
      </c>
      <c r="K811" s="5">
        <f>[1]Expense!I392</f>
        <v>1100</v>
      </c>
      <c r="L811" s="5">
        <f>[2]Expense!K366</f>
        <v>650</v>
      </c>
      <c r="M811" s="5">
        <v>650</v>
      </c>
      <c r="N811" s="5">
        <v>1100</v>
      </c>
      <c r="O811" s="38">
        <f>(G811-K811)/K811</f>
        <v>-9.0909090909090912E-2</v>
      </c>
      <c r="P811" s="18">
        <f>G811-K811</f>
        <v>-100</v>
      </c>
    </row>
    <row r="812" spans="1:16" x14ac:dyDescent="0.25">
      <c r="A812" s="1">
        <v>25120</v>
      </c>
      <c r="B812" s="1">
        <v>52100</v>
      </c>
      <c r="C812" s="1" t="s">
        <v>22</v>
      </c>
      <c r="G812" s="59">
        <f>SUM(F813:F814)</f>
        <v>50625</v>
      </c>
      <c r="H812" s="19">
        <v>18500</v>
      </c>
      <c r="I812" s="19">
        <v>18500</v>
      </c>
      <c r="J812" s="1">
        <f>[1]Expense!N393</f>
        <v>20492.68</v>
      </c>
      <c r="K812" s="5">
        <f>[1]Expense!I393</f>
        <v>40669</v>
      </c>
      <c r="L812" s="5">
        <f>[2]Expense!K367</f>
        <v>35058.71</v>
      </c>
      <c r="M812" s="5">
        <f>50977.85+110.82</f>
        <v>51088.67</v>
      </c>
      <c r="N812" s="5">
        <f>44496.31+46.09</f>
        <v>44542.399999999994</v>
      </c>
      <c r="O812" s="38">
        <f>(G812-K812)/K812</f>
        <v>0.24480562590671026</v>
      </c>
      <c r="P812" s="18">
        <f>G812-K812</f>
        <v>9956</v>
      </c>
    </row>
    <row r="813" spans="1:16" x14ac:dyDescent="0.25">
      <c r="C813" s="1" t="s">
        <v>598</v>
      </c>
      <c r="F813" s="1">
        <v>49625</v>
      </c>
      <c r="G813" s="19"/>
      <c r="I813" s="19"/>
      <c r="J813" s="5"/>
      <c r="O813" s="38"/>
      <c r="P813" s="18"/>
    </row>
    <row r="814" spans="1:16" x14ac:dyDescent="0.25">
      <c r="C814" s="1" t="s">
        <v>599</v>
      </c>
      <c r="D814" s="1">
        <v>2</v>
      </c>
      <c r="E814" s="1">
        <v>500</v>
      </c>
      <c r="F814" s="1">
        <v>1000</v>
      </c>
      <c r="G814" s="19"/>
      <c r="I814" s="19"/>
      <c r="O814" s="38"/>
      <c r="P814" s="18"/>
    </row>
    <row r="815" spans="1:16" x14ac:dyDescent="0.25">
      <c r="A815" s="1">
        <v>25120</v>
      </c>
      <c r="B815" s="1">
        <v>52140</v>
      </c>
      <c r="C815" s="1" t="s">
        <v>23</v>
      </c>
      <c r="G815" s="19">
        <v>585</v>
      </c>
      <c r="H815" s="19">
        <v>585</v>
      </c>
      <c r="I815" s="19">
        <v>585</v>
      </c>
      <c r="J815" s="1">
        <f>[1]Expense!N394</f>
        <v>0</v>
      </c>
      <c r="K815" s="5">
        <f>[1]Expense!I394</f>
        <v>1422.9</v>
      </c>
      <c r="O815" s="38">
        <f t="shared" ref="O815:O823" si="66">(G815-K815)/K815</f>
        <v>-0.58886780518659076</v>
      </c>
      <c r="P815" s="18">
        <f t="shared" ref="P815:P823" si="67">G815-K815</f>
        <v>-837.90000000000009</v>
      </c>
    </row>
    <row r="816" spans="1:16" x14ac:dyDescent="0.25">
      <c r="A816" s="1">
        <v>25120</v>
      </c>
      <c r="B816" s="1">
        <v>52200</v>
      </c>
      <c r="C816" s="1" t="s">
        <v>24</v>
      </c>
      <c r="G816" s="5">
        <v>11150</v>
      </c>
      <c r="H816" s="5">
        <v>11150</v>
      </c>
      <c r="I816" s="5">
        <v>11150</v>
      </c>
      <c r="J816" s="5">
        <f>[1]Expense!N395</f>
        <v>10095.219999999999</v>
      </c>
      <c r="K816" s="5">
        <f>[1]Expense!I395</f>
        <v>12100</v>
      </c>
      <c r="L816" s="5">
        <f>[2]Expense!K368</f>
        <v>9490.51</v>
      </c>
      <c r="M816" s="5">
        <f>8871.12+75.73</f>
        <v>8946.85</v>
      </c>
      <c r="N816" s="5">
        <f>9277.2+1349.54</f>
        <v>10626.740000000002</v>
      </c>
      <c r="O816" s="38">
        <f t="shared" si="66"/>
        <v>-7.8512396694214878E-2</v>
      </c>
      <c r="P816" s="18">
        <f t="shared" si="67"/>
        <v>-950</v>
      </c>
    </row>
    <row r="817" spans="1:17" x14ac:dyDescent="0.25">
      <c r="A817" s="1">
        <v>25120</v>
      </c>
      <c r="B817" s="1">
        <v>52230</v>
      </c>
      <c r="C817" s="1" t="s">
        <v>25</v>
      </c>
      <c r="G817" s="5">
        <v>19800</v>
      </c>
      <c r="H817" s="5">
        <v>19800</v>
      </c>
      <c r="I817" s="5">
        <v>19800</v>
      </c>
      <c r="J817" s="5">
        <f>[1]Expense!N396</f>
        <v>18069.18</v>
      </c>
      <c r="K817" s="5">
        <f>[1]Expense!I396</f>
        <v>21900</v>
      </c>
      <c r="L817" s="5">
        <f>[2]Expense!K369</f>
        <v>17184.240000000002</v>
      </c>
      <c r="M817" s="5">
        <f>15374.39+27.92</f>
        <v>15402.31</v>
      </c>
      <c r="N817" s="5">
        <f>13602.3+16.77</f>
        <v>13619.07</v>
      </c>
      <c r="O817" s="38">
        <f t="shared" si="66"/>
        <v>-9.5890410958904104E-2</v>
      </c>
      <c r="P817" s="18">
        <f t="shared" si="67"/>
        <v>-2100</v>
      </c>
    </row>
    <row r="818" spans="1:17" x14ac:dyDescent="0.25">
      <c r="A818" s="1">
        <v>25120</v>
      </c>
      <c r="B818" s="1">
        <v>52250</v>
      </c>
      <c r="C818" s="1" t="s">
        <v>26</v>
      </c>
      <c r="G818" s="19">
        <v>70</v>
      </c>
      <c r="H818" s="19">
        <v>70</v>
      </c>
      <c r="I818" s="19">
        <v>70</v>
      </c>
      <c r="J818" s="5">
        <f>[1]Expense!N397</f>
        <v>80.569999999999993</v>
      </c>
      <c r="K818" s="5">
        <f>[1]Expense!I397</f>
        <v>81</v>
      </c>
      <c r="L818" s="5">
        <f>[2]Expense!K370</f>
        <v>89.43</v>
      </c>
      <c r="M818" s="5">
        <v>99.77</v>
      </c>
      <c r="N818" s="5">
        <v>99.77</v>
      </c>
      <c r="O818" s="38">
        <f t="shared" si="66"/>
        <v>-0.13580246913580246</v>
      </c>
      <c r="P818" s="18">
        <f t="shared" si="67"/>
        <v>-11</v>
      </c>
    </row>
    <row r="819" spans="1:17" x14ac:dyDescent="0.25">
      <c r="A819" s="1">
        <v>25120</v>
      </c>
      <c r="B819" s="1">
        <v>52260</v>
      </c>
      <c r="C819" s="1" t="s">
        <v>27</v>
      </c>
      <c r="G819" s="19">
        <v>2925</v>
      </c>
      <c r="H819" s="19">
        <v>2925</v>
      </c>
      <c r="I819" s="19">
        <v>2925</v>
      </c>
      <c r="J819" s="5">
        <f>[1]Expense!N398</f>
        <v>2699.46</v>
      </c>
      <c r="K819" s="5">
        <f>[1]Expense!I398</f>
        <v>2700</v>
      </c>
      <c r="L819" s="5">
        <f>[2]Expense!K371</f>
        <v>3654</v>
      </c>
      <c r="M819" s="5">
        <v>5067</v>
      </c>
      <c r="N819" s="5">
        <v>5905</v>
      </c>
      <c r="O819" s="38">
        <f t="shared" si="66"/>
        <v>8.3333333333333329E-2</v>
      </c>
      <c r="P819" s="18">
        <f t="shared" si="67"/>
        <v>225</v>
      </c>
      <c r="Q819" s="18">
        <f>SUM(P807:P819)</f>
        <v>-6247.9</v>
      </c>
    </row>
    <row r="820" spans="1:17" x14ac:dyDescent="0.25">
      <c r="A820" s="1">
        <v>25120</v>
      </c>
      <c r="B820" s="1">
        <v>56100</v>
      </c>
      <c r="C820" s="1" t="s">
        <v>71</v>
      </c>
      <c r="G820" s="5">
        <v>1500</v>
      </c>
      <c r="H820" s="5">
        <v>1500</v>
      </c>
      <c r="I820" s="5">
        <v>1500</v>
      </c>
      <c r="J820" s="5">
        <f>[1]Expense!N399</f>
        <v>1341.52</v>
      </c>
      <c r="K820" s="5">
        <f>[1]Expense!I399</f>
        <v>1500</v>
      </c>
      <c r="L820" s="5">
        <f>[2]Expense!K372</f>
        <v>1594.12</v>
      </c>
      <c r="M820" s="5">
        <f>969.05+125</f>
        <v>1094.05</v>
      </c>
      <c r="N820" s="5">
        <v>1198.43</v>
      </c>
      <c r="O820" s="38">
        <f t="shared" si="66"/>
        <v>0</v>
      </c>
      <c r="P820" s="18">
        <f t="shared" si="67"/>
        <v>0</v>
      </c>
    </row>
    <row r="821" spans="1:17" x14ac:dyDescent="0.25">
      <c r="A821" s="1">
        <v>25120</v>
      </c>
      <c r="B821" s="1">
        <v>56115</v>
      </c>
      <c r="C821" s="1" t="s">
        <v>168</v>
      </c>
      <c r="D821" s="1">
        <v>3</v>
      </c>
      <c r="E821" s="1">
        <v>200</v>
      </c>
      <c r="F821" s="1">
        <v>600</v>
      </c>
      <c r="G821" s="5">
        <v>600</v>
      </c>
      <c r="H821" s="5">
        <v>600</v>
      </c>
      <c r="I821" s="5">
        <v>600</v>
      </c>
      <c r="J821" s="1">
        <f>[1]Expense!N400</f>
        <v>387.44</v>
      </c>
      <c r="K821" s="5">
        <f>[1]Expense!I400</f>
        <v>600</v>
      </c>
      <c r="L821" s="5">
        <f>[2]Expense!K373</f>
        <v>600</v>
      </c>
      <c r="M821" s="5">
        <v>392.44</v>
      </c>
      <c r="N821" s="5">
        <v>600</v>
      </c>
      <c r="O821" s="38">
        <f t="shared" si="66"/>
        <v>0</v>
      </c>
      <c r="P821" s="18">
        <f t="shared" si="67"/>
        <v>0</v>
      </c>
    </row>
    <row r="822" spans="1:17" x14ac:dyDescent="0.25">
      <c r="A822" s="1">
        <v>25120</v>
      </c>
      <c r="B822" s="1">
        <v>56680</v>
      </c>
      <c r="C822" s="1" t="s">
        <v>43</v>
      </c>
      <c r="G822" s="19"/>
      <c r="L822" s="5">
        <f>[2]Expense!K374</f>
        <v>0</v>
      </c>
      <c r="M822" s="5">
        <v>0</v>
      </c>
      <c r="N822" s="5">
        <v>3597.38</v>
      </c>
      <c r="O822" s="38" t="e">
        <f t="shared" si="66"/>
        <v>#DIV/0!</v>
      </c>
      <c r="P822" s="18">
        <f t="shared" si="67"/>
        <v>0</v>
      </c>
    </row>
    <row r="823" spans="1:17" s="8" customFormat="1" x14ac:dyDescent="0.25">
      <c r="A823" s="8" t="s">
        <v>12</v>
      </c>
      <c r="B823" s="8" t="s">
        <v>172</v>
      </c>
      <c r="G823" s="21">
        <f>SUM(G807:G822)</f>
        <v>238225</v>
      </c>
      <c r="H823" s="21">
        <f t="shared" ref="H823:N823" si="68">SUM(H807:H822)</f>
        <v>216155</v>
      </c>
      <c r="I823" s="9">
        <f t="shared" si="68"/>
        <v>216155</v>
      </c>
      <c r="J823" s="9">
        <f>SUM(J806:J821)</f>
        <v>185681.9</v>
      </c>
      <c r="K823" s="9">
        <f>SUM(K807:K821)</f>
        <v>244472.9</v>
      </c>
      <c r="L823" s="9">
        <f t="shared" si="68"/>
        <v>195460.94999999998</v>
      </c>
      <c r="M823" s="9">
        <f t="shared" si="68"/>
        <v>201966.13999999998</v>
      </c>
      <c r="N823" s="9">
        <f t="shared" si="68"/>
        <v>204563.46</v>
      </c>
      <c r="O823" s="39">
        <f t="shared" si="66"/>
        <v>-2.5556615886668806E-2</v>
      </c>
      <c r="P823" s="40">
        <f t="shared" si="67"/>
        <v>-6247.8999999999942</v>
      </c>
    </row>
    <row r="824" spans="1:17" x14ac:dyDescent="0.25">
      <c r="G824" s="19"/>
      <c r="J824" s="5"/>
      <c r="L824" s="9"/>
      <c r="O824" s="38"/>
      <c r="P824" s="18"/>
    </row>
    <row r="825" spans="1:17" s="8" customFormat="1" x14ac:dyDescent="0.25">
      <c r="A825" s="8">
        <v>25130</v>
      </c>
      <c r="B825" s="8" t="s">
        <v>173</v>
      </c>
      <c r="G825" s="21"/>
      <c r="H825" s="21"/>
      <c r="I825" s="9"/>
      <c r="J825" s="5"/>
      <c r="K825" s="5"/>
      <c r="L825" s="5"/>
      <c r="M825" s="9"/>
      <c r="N825" s="9"/>
      <c r="O825" s="38"/>
      <c r="P825" s="18"/>
    </row>
    <row r="826" spans="1:17" x14ac:dyDescent="0.25">
      <c r="A826" s="1">
        <v>25130</v>
      </c>
      <c r="B826" s="1">
        <v>53301</v>
      </c>
      <c r="C826" s="1" t="s">
        <v>174</v>
      </c>
      <c r="G826" s="5">
        <v>1454026</v>
      </c>
      <c r="H826" s="5">
        <v>1454026</v>
      </c>
      <c r="I826" s="5">
        <v>1454026</v>
      </c>
      <c r="J826" s="5">
        <f>[1]Expense!N405</f>
        <v>1347739.55</v>
      </c>
      <c r="K826" s="5">
        <f>[1]Expense!I405</f>
        <v>1442627</v>
      </c>
      <c r="L826" s="5">
        <f>[2]Expense!K378</f>
        <v>1240241.8</v>
      </c>
      <c r="M826" s="5">
        <v>1131896.05</v>
      </c>
      <c r="N826" s="5">
        <v>1133786.46</v>
      </c>
      <c r="O826" s="38">
        <f>(G826-K826)/K826</f>
        <v>7.9015573672196627E-3</v>
      </c>
      <c r="P826" s="18">
        <f>G826-K826</f>
        <v>11399</v>
      </c>
    </row>
    <row r="827" spans="1:17" x14ac:dyDescent="0.25">
      <c r="A827" s="1">
        <v>25130</v>
      </c>
      <c r="B827" s="1">
        <v>53500</v>
      </c>
      <c r="C827" s="1" t="s">
        <v>175</v>
      </c>
      <c r="D827" s="1">
        <v>12</v>
      </c>
      <c r="E827" s="1">
        <v>670</v>
      </c>
      <c r="G827" s="5">
        <v>8040</v>
      </c>
      <c r="H827" s="5">
        <v>8040</v>
      </c>
      <c r="I827" s="5">
        <v>8040</v>
      </c>
      <c r="J827" s="5">
        <f>[1]Expense!N406</f>
        <v>10425</v>
      </c>
      <c r="K827" s="5">
        <f>[1]Expense!I406</f>
        <v>4440</v>
      </c>
      <c r="L827" s="5">
        <f>[2]Expense!K379</f>
        <v>5400.13</v>
      </c>
      <c r="M827" s="5">
        <v>3852.24</v>
      </c>
      <c r="N827" s="5">
        <v>4891.1899999999996</v>
      </c>
      <c r="O827" s="38">
        <f>(G827-K827)/K827</f>
        <v>0.81081081081081086</v>
      </c>
      <c r="P827" s="18">
        <f>G827-K827</f>
        <v>3600</v>
      </c>
    </row>
    <row r="828" spans="1:17" x14ac:dyDescent="0.25">
      <c r="A828" s="1">
        <v>25130</v>
      </c>
      <c r="B828" s="1">
        <v>54351</v>
      </c>
      <c r="C828" s="1" t="s">
        <v>176</v>
      </c>
      <c r="G828" s="5">
        <v>2500</v>
      </c>
      <c r="H828" s="5">
        <v>2500</v>
      </c>
      <c r="I828" s="5">
        <v>2500</v>
      </c>
      <c r="J828" s="5">
        <f>[1]Expense!N407</f>
        <v>636</v>
      </c>
      <c r="K828" s="5">
        <f>[1]Expense!I407</f>
        <v>2500</v>
      </c>
      <c r="L828" s="5">
        <f>[2]Expense!K380</f>
        <v>4722.2299999999996</v>
      </c>
      <c r="M828" s="5">
        <v>268.58999999999997</v>
      </c>
      <c r="N828" s="5">
        <v>428.56</v>
      </c>
      <c r="O828" s="38"/>
      <c r="P828" s="18"/>
    </row>
    <row r="829" spans="1:17" x14ac:dyDescent="0.25">
      <c r="A829" s="1">
        <v>25130</v>
      </c>
      <c r="B829" s="1">
        <v>56680</v>
      </c>
      <c r="C829" s="1" t="s">
        <v>43</v>
      </c>
      <c r="G829" s="5"/>
      <c r="H829" s="5"/>
      <c r="J829" s="5">
        <f>[1]Expense!N408</f>
        <v>6297.75</v>
      </c>
      <c r="K829" s="9">
        <f>[1]Expense!I408</f>
        <v>0</v>
      </c>
      <c r="L829" s="5">
        <f>[2]Expense!K381</f>
        <v>51962.22</v>
      </c>
      <c r="M829" s="5">
        <v>0</v>
      </c>
      <c r="N829" s="5">
        <v>0</v>
      </c>
      <c r="O829" s="38" t="e">
        <f>(G829-K829)/K829</f>
        <v>#DIV/0!</v>
      </c>
      <c r="P829" s="18">
        <f>G829-K829</f>
        <v>0</v>
      </c>
    </row>
    <row r="830" spans="1:17" s="8" customFormat="1" x14ac:dyDescent="0.25">
      <c r="A830" s="8" t="s">
        <v>12</v>
      </c>
      <c r="B830" s="8" t="s">
        <v>177</v>
      </c>
      <c r="G830" s="21">
        <f>SUM(G826:G829)</f>
        <v>1464566</v>
      </c>
      <c r="H830" s="21">
        <f>SUM(H826:H829)</f>
        <v>1464566</v>
      </c>
      <c r="I830" s="9">
        <f>SUM(I826:I829)</f>
        <v>1464566</v>
      </c>
      <c r="J830" s="9">
        <f>[1]Expense!N409</f>
        <v>1365098.3</v>
      </c>
      <c r="K830" s="9">
        <f>[1]Expense!I409</f>
        <v>1449567</v>
      </c>
      <c r="L830" s="9">
        <f>SUM(L826:L829)</f>
        <v>1302326.3799999999</v>
      </c>
      <c r="M830" s="9">
        <f>SUM(M826:M829)</f>
        <v>1136016.8800000001</v>
      </c>
      <c r="N830" s="9">
        <f>SUM(N826:N829)</f>
        <v>1139106.21</v>
      </c>
      <c r="O830" s="39">
        <f>(G830-K830)/K830</f>
        <v>1.0347227827344303E-2</v>
      </c>
      <c r="P830" s="40">
        <f>G830-K830</f>
        <v>14999</v>
      </c>
    </row>
    <row r="831" spans="1:17" x14ac:dyDescent="0.25">
      <c r="G831" s="19"/>
      <c r="J831" s="5"/>
      <c r="L831" s="9"/>
      <c r="O831" s="38"/>
      <c r="P831" s="18"/>
    </row>
    <row r="832" spans="1:17" s="8" customFormat="1" x14ac:dyDescent="0.25">
      <c r="A832" s="8">
        <v>25140</v>
      </c>
      <c r="B832" s="8" t="s">
        <v>178</v>
      </c>
      <c r="G832" s="21"/>
      <c r="H832" s="21"/>
      <c r="I832" s="9"/>
      <c r="J832" s="5"/>
      <c r="K832" s="5"/>
      <c r="L832" s="5"/>
      <c r="M832" s="9"/>
      <c r="N832" s="9"/>
      <c r="O832" s="38"/>
      <c r="P832" s="18"/>
    </row>
    <row r="833" spans="1:17" x14ac:dyDescent="0.25">
      <c r="A833" s="1">
        <v>25140</v>
      </c>
      <c r="B833" s="1">
        <v>51100</v>
      </c>
      <c r="C833" s="1" t="s">
        <v>15</v>
      </c>
      <c r="G833" s="59">
        <f>3000000+24041</f>
        <v>3024041</v>
      </c>
      <c r="H833" s="5">
        <v>3000000</v>
      </c>
      <c r="I833" s="5">
        <v>3000000</v>
      </c>
      <c r="J833" s="5">
        <f>[1]Expense!N412</f>
        <v>2918755</v>
      </c>
      <c r="K833" s="5">
        <f>[1]Expense!I412</f>
        <v>3103300</v>
      </c>
      <c r="L833" s="5">
        <f>[2]Expense!K385</f>
        <v>2547576.73</v>
      </c>
      <c r="M833" s="5">
        <f>2283517.42+7467.2</f>
        <v>2290984.62</v>
      </c>
      <c r="N833" s="5">
        <f>2488329.8+7594.8</f>
        <v>2495924.5999999996</v>
      </c>
      <c r="O833" s="38">
        <f t="shared" ref="O833:O841" si="69">(G833-K833)/K833</f>
        <v>-2.5540231366609739E-2</v>
      </c>
      <c r="P833" s="18">
        <f t="shared" ref="P833:P841" si="70">G833-K833</f>
        <v>-79259</v>
      </c>
    </row>
    <row r="834" spans="1:17" x14ac:dyDescent="0.25">
      <c r="A834" s="1">
        <v>25140</v>
      </c>
      <c r="B834" s="1">
        <v>51150</v>
      </c>
      <c r="C834" s="1" t="s">
        <v>179</v>
      </c>
      <c r="G834" s="5">
        <v>100000</v>
      </c>
      <c r="H834" s="5">
        <v>100000</v>
      </c>
      <c r="I834" s="5">
        <v>100000</v>
      </c>
      <c r="J834" s="5">
        <f>[1]Expense!N413</f>
        <v>86450</v>
      </c>
      <c r="K834" s="5">
        <f>[1]Expense!I413</f>
        <v>100000</v>
      </c>
      <c r="L834" s="5">
        <f>[2]Expense!K386</f>
        <v>87600</v>
      </c>
      <c r="M834" s="5">
        <v>89775</v>
      </c>
      <c r="N834" s="5">
        <v>0</v>
      </c>
      <c r="O834" s="38">
        <f t="shared" si="69"/>
        <v>0</v>
      </c>
      <c r="P834" s="18">
        <f t="shared" si="70"/>
        <v>0</v>
      </c>
    </row>
    <row r="835" spans="1:17" x14ac:dyDescent="0.25">
      <c r="A835" s="1">
        <v>25140</v>
      </c>
      <c r="B835" s="1">
        <v>51200</v>
      </c>
      <c r="C835" s="1" t="s">
        <v>16</v>
      </c>
      <c r="G835" s="65">
        <f>350000+56000</f>
        <v>406000</v>
      </c>
      <c r="H835" s="5">
        <v>350000</v>
      </c>
      <c r="I835" s="5">
        <v>350000</v>
      </c>
      <c r="J835" s="5">
        <f>[1]Expense!N414</f>
        <v>335836</v>
      </c>
      <c r="K835" s="5">
        <f>[1]Expense!I414</f>
        <v>397800</v>
      </c>
      <c r="L835" s="5">
        <f>[2]Expense!K387</f>
        <v>261412.01</v>
      </c>
      <c r="M835" s="5">
        <f>309776.3+1500</f>
        <v>311276.3</v>
      </c>
      <c r="N835" s="5">
        <f>485342.57+785.7</f>
        <v>486128.27</v>
      </c>
      <c r="O835" s="38">
        <f t="shared" si="69"/>
        <v>2.0613373554550025E-2</v>
      </c>
      <c r="P835" s="18">
        <f t="shared" si="70"/>
        <v>8200</v>
      </c>
    </row>
    <row r="836" spans="1:17" x14ac:dyDescent="0.25">
      <c r="A836" s="1">
        <v>25140</v>
      </c>
      <c r="B836" s="1">
        <v>51400</v>
      </c>
      <c r="C836" s="1" t="s">
        <v>18</v>
      </c>
      <c r="G836" s="59">
        <v>300000</v>
      </c>
      <c r="H836" s="5">
        <v>350000</v>
      </c>
      <c r="I836" s="5">
        <v>350000</v>
      </c>
      <c r="J836" s="19">
        <f>[1]Expense!N415</f>
        <v>280473</v>
      </c>
      <c r="K836" s="19">
        <f>[1]Expense!I415</f>
        <v>250000</v>
      </c>
      <c r="L836" s="5">
        <f>[2]Expense!K388</f>
        <v>263296.65000000002</v>
      </c>
      <c r="M836" s="5">
        <v>259844.81</v>
      </c>
      <c r="N836" s="5">
        <v>296671.98</v>
      </c>
      <c r="O836" s="38">
        <f>(G836-K836)/K836</f>
        <v>0.2</v>
      </c>
      <c r="P836" s="18">
        <f t="shared" si="70"/>
        <v>50000</v>
      </c>
    </row>
    <row r="837" spans="1:17" x14ac:dyDescent="0.25">
      <c r="A837" s="1">
        <v>25140</v>
      </c>
      <c r="B837" s="1">
        <v>51500</v>
      </c>
      <c r="C837" s="1" t="s">
        <v>61</v>
      </c>
      <c r="G837" s="59">
        <v>108000</v>
      </c>
      <c r="H837" s="19">
        <v>59100</v>
      </c>
      <c r="I837" s="19">
        <v>59100</v>
      </c>
      <c r="J837" s="5">
        <f>[1]Expense!N416</f>
        <v>88476</v>
      </c>
      <c r="K837" s="5">
        <f>[1]Expense!I416</f>
        <v>32200</v>
      </c>
      <c r="L837" s="19">
        <f>[2]Expense!K389</f>
        <v>21568.49</v>
      </c>
      <c r="M837" s="19">
        <v>4913.66</v>
      </c>
      <c r="N837" s="19">
        <v>6568.02</v>
      </c>
      <c r="O837" s="38">
        <f t="shared" si="69"/>
        <v>2.3540372670807455</v>
      </c>
      <c r="P837" s="18">
        <f t="shared" si="70"/>
        <v>75800</v>
      </c>
    </row>
    <row r="838" spans="1:17" x14ac:dyDescent="0.25">
      <c r="A838" s="1">
        <v>25140</v>
      </c>
      <c r="B838" s="1">
        <v>51510</v>
      </c>
      <c r="C838" s="1" t="s">
        <v>20</v>
      </c>
      <c r="G838" s="59">
        <v>2491</v>
      </c>
      <c r="H838" s="5"/>
      <c r="J838" s="5">
        <f>[1]Expense!N417</f>
        <v>1406</v>
      </c>
      <c r="K838" s="5">
        <f>[1]Expense!I417</f>
        <v>1406</v>
      </c>
      <c r="L838" s="5">
        <f>[2]Expense!K390</f>
        <v>3673.2</v>
      </c>
      <c r="M838" s="5">
        <v>6828.24</v>
      </c>
      <c r="N838" s="5">
        <v>5555.52</v>
      </c>
      <c r="O838" s="38">
        <f t="shared" si="69"/>
        <v>0.77169274537695587</v>
      </c>
      <c r="P838" s="18">
        <f t="shared" si="70"/>
        <v>1085</v>
      </c>
    </row>
    <row r="839" spans="1:17" x14ac:dyDescent="0.25">
      <c r="A839" s="1">
        <v>25140</v>
      </c>
      <c r="B839" s="1">
        <v>51520</v>
      </c>
      <c r="C839" s="1" t="s">
        <v>21</v>
      </c>
      <c r="G839" s="5">
        <v>12050</v>
      </c>
      <c r="H839" s="5">
        <v>12050</v>
      </c>
      <c r="I839" s="5">
        <v>12050</v>
      </c>
      <c r="J839" s="5">
        <f>[1]Expense!N418</f>
        <v>6400</v>
      </c>
      <c r="K839" s="5">
        <f>[1]Expense!I418</f>
        <v>5650</v>
      </c>
      <c r="L839" s="5">
        <f>[2]Expense!K391</f>
        <v>5770</v>
      </c>
      <c r="M839" s="5">
        <v>6040</v>
      </c>
      <c r="N839" s="5">
        <v>6020</v>
      </c>
      <c r="O839" s="38">
        <f t="shared" si="69"/>
        <v>1.1327433628318584</v>
      </c>
      <c r="P839" s="18">
        <f t="shared" si="70"/>
        <v>6400</v>
      </c>
    </row>
    <row r="840" spans="1:17" x14ac:dyDescent="0.25">
      <c r="A840" s="1">
        <v>25140</v>
      </c>
      <c r="B840" s="1">
        <v>51900</v>
      </c>
      <c r="C840" s="1" t="s">
        <v>180</v>
      </c>
      <c r="G840" s="5">
        <v>165300</v>
      </c>
      <c r="H840" s="5">
        <v>165300</v>
      </c>
      <c r="I840" s="5">
        <v>165300</v>
      </c>
      <c r="J840" s="5">
        <f>[1]Expense!N419</f>
        <v>156906</v>
      </c>
      <c r="K840" s="5">
        <f>[1]Expense!I419</f>
        <v>154500</v>
      </c>
      <c r="L840" s="5">
        <f>[2]Expense!K392</f>
        <v>142709.79</v>
      </c>
      <c r="M840" s="5">
        <v>136517.18</v>
      </c>
      <c r="N840" s="5">
        <v>98042.46</v>
      </c>
      <c r="O840" s="38">
        <f t="shared" si="69"/>
        <v>6.9902912621359226E-2</v>
      </c>
      <c r="P840" s="18">
        <f t="shared" si="70"/>
        <v>10800</v>
      </c>
    </row>
    <row r="841" spans="1:17" x14ac:dyDescent="0.25">
      <c r="A841" s="1">
        <v>25140</v>
      </c>
      <c r="B841" s="1">
        <v>52100</v>
      </c>
      <c r="C841" s="1" t="s">
        <v>22</v>
      </c>
      <c r="G841" s="59">
        <f>SUM(F842:F843)</f>
        <v>1069500</v>
      </c>
      <c r="H841" s="19">
        <v>1328000</v>
      </c>
      <c r="I841" s="19">
        <v>1328000</v>
      </c>
      <c r="J841" s="5">
        <f>[1]Expense!N420</f>
        <v>772621</v>
      </c>
      <c r="K841" s="5">
        <f>[1]Expense!I420</f>
        <v>1148900</v>
      </c>
      <c r="L841" s="5">
        <f>[2]Expense!K393</f>
        <v>847277.12</v>
      </c>
      <c r="M841" s="5">
        <f>928107.49+2717.16</f>
        <v>930824.65</v>
      </c>
      <c r="N841" s="5">
        <f>965830.1+1489.78</f>
        <v>967319.88</v>
      </c>
      <c r="O841" s="38">
        <f t="shared" si="69"/>
        <v>-6.910958307946731E-2</v>
      </c>
      <c r="P841" s="18">
        <f t="shared" si="70"/>
        <v>-79400</v>
      </c>
    </row>
    <row r="842" spans="1:17" x14ac:dyDescent="0.25">
      <c r="C842" s="1" t="s">
        <v>598</v>
      </c>
      <c r="F842" s="1">
        <v>1047000</v>
      </c>
      <c r="G842" s="19"/>
      <c r="I842" s="19"/>
      <c r="J842" s="5"/>
      <c r="O842" s="38"/>
      <c r="P842" s="18"/>
    </row>
    <row r="843" spans="1:17" x14ac:dyDescent="0.25">
      <c r="C843" s="1" t="s">
        <v>599</v>
      </c>
      <c r="D843" s="1">
        <v>45</v>
      </c>
      <c r="E843" s="1">
        <v>500</v>
      </c>
      <c r="F843" s="1">
        <f>D843*E843</f>
        <v>22500</v>
      </c>
      <c r="G843" s="19"/>
      <c r="I843" s="19"/>
      <c r="O843" s="38"/>
      <c r="P843" s="18"/>
    </row>
    <row r="844" spans="1:17" x14ac:dyDescent="0.25">
      <c r="A844" s="1">
        <v>25140</v>
      </c>
      <c r="B844" s="1">
        <v>52140</v>
      </c>
      <c r="C844" s="1" t="s">
        <v>23</v>
      </c>
      <c r="G844" s="19">
        <v>19859</v>
      </c>
      <c r="H844" s="19">
        <v>19859</v>
      </c>
      <c r="I844" s="19">
        <v>19859</v>
      </c>
      <c r="J844" s="5">
        <f>[1]Expense!N421</f>
        <v>2747</v>
      </c>
      <c r="K844" s="5">
        <f>[1]Expense!I421</f>
        <v>4995</v>
      </c>
      <c r="O844" s="38">
        <f t="shared" ref="O844:O849" si="71">(G844-K844)/K844</f>
        <v>2.9757757757757757</v>
      </c>
      <c r="P844" s="18">
        <f t="shared" ref="P844:P849" si="72">G844-K844</f>
        <v>14864</v>
      </c>
    </row>
    <row r="845" spans="1:17" x14ac:dyDescent="0.25">
      <c r="A845" s="1">
        <v>25140</v>
      </c>
      <c r="B845" s="1">
        <v>52200</v>
      </c>
      <c r="C845" s="1" t="s">
        <v>24</v>
      </c>
      <c r="G845" s="5">
        <v>350000</v>
      </c>
      <c r="H845" s="5">
        <v>350000</v>
      </c>
      <c r="I845" s="5">
        <v>350000</v>
      </c>
      <c r="J845" s="5">
        <f>[1]Expense!N422</f>
        <v>283787</v>
      </c>
      <c r="K845" s="5">
        <f>[1]Expense!I422</f>
        <v>252332</v>
      </c>
      <c r="L845" s="5">
        <f>[2]Expense!K394</f>
        <v>242729.54</v>
      </c>
      <c r="M845" s="5">
        <f>228127.11+2085.02</f>
        <v>230212.12999999998</v>
      </c>
      <c r="N845" s="5">
        <f>251380.83+29604.44</f>
        <v>280985.26999999996</v>
      </c>
      <c r="O845" s="38">
        <f t="shared" si="71"/>
        <v>0.38706149041738663</v>
      </c>
      <c r="P845" s="18">
        <f t="shared" si="72"/>
        <v>97668</v>
      </c>
    </row>
    <row r="846" spans="1:17" x14ac:dyDescent="0.25">
      <c r="A846" s="1">
        <v>25140</v>
      </c>
      <c r="B846" s="1">
        <v>52230</v>
      </c>
      <c r="C846" s="1" t="s">
        <v>25</v>
      </c>
      <c r="G846" s="59">
        <f>609000-50000</f>
        <v>559000</v>
      </c>
      <c r="H846" s="5">
        <v>609000</v>
      </c>
      <c r="I846" s="5">
        <v>609000</v>
      </c>
      <c r="J846" s="5">
        <f>[1]Expense!N423</f>
        <v>469886</v>
      </c>
      <c r="K846" s="5">
        <f>[1]Expense!I423</f>
        <v>455187</v>
      </c>
      <c r="L846" s="5">
        <f>[2]Expense!K395</f>
        <v>394042.37</v>
      </c>
      <c r="M846" s="5">
        <f>340929.01+834.06</f>
        <v>341763.07</v>
      </c>
      <c r="N846" s="5">
        <f>313115.8+362.45</f>
        <v>313478.25</v>
      </c>
      <c r="O846" s="38">
        <f t="shared" si="71"/>
        <v>0.22806670665023385</v>
      </c>
      <c r="P846" s="18">
        <f t="shared" si="72"/>
        <v>103813</v>
      </c>
    </row>
    <row r="847" spans="1:17" x14ac:dyDescent="0.25">
      <c r="A847" s="1">
        <v>25140</v>
      </c>
      <c r="B847" s="1">
        <v>52250</v>
      </c>
      <c r="C847" s="1" t="s">
        <v>26</v>
      </c>
      <c r="G847" s="19">
        <v>2328</v>
      </c>
      <c r="H847" s="19">
        <v>2328</v>
      </c>
      <c r="I847" s="19">
        <v>2328</v>
      </c>
      <c r="J847" s="5">
        <f>[1]Expense!N424</f>
        <v>2686</v>
      </c>
      <c r="K847" s="5">
        <f>[1]Expense!I424</f>
        <v>2686</v>
      </c>
      <c r="L847" s="5">
        <f>[2]Expense!K396</f>
        <v>3429.34</v>
      </c>
      <c r="M847" s="5">
        <v>3430.72</v>
      </c>
      <c r="N847" s="5">
        <v>3430.72</v>
      </c>
      <c r="O847" s="38">
        <f t="shared" si="71"/>
        <v>-0.13328369322412509</v>
      </c>
      <c r="P847" s="18">
        <f t="shared" si="72"/>
        <v>-358</v>
      </c>
    </row>
    <row r="848" spans="1:17" x14ac:dyDescent="0.25">
      <c r="A848" s="1">
        <v>25140</v>
      </c>
      <c r="B848" s="1">
        <v>52260</v>
      </c>
      <c r="C848" s="1" t="s">
        <v>27</v>
      </c>
      <c r="G848" s="19">
        <v>68813</v>
      </c>
      <c r="H848" s="19">
        <v>68813</v>
      </c>
      <c r="I848" s="19">
        <v>68813</v>
      </c>
      <c r="J848" s="5">
        <f>[1]Expense!N425</f>
        <v>76671.39</v>
      </c>
      <c r="K848" s="5">
        <f>[1]Expense!I425</f>
        <v>76672</v>
      </c>
      <c r="L848" s="5">
        <f>[2]Expense!K397</f>
        <v>86731</v>
      </c>
      <c r="M848" s="5">
        <v>92628</v>
      </c>
      <c r="N848" s="5">
        <v>107935</v>
      </c>
      <c r="O848" s="38">
        <f t="shared" si="71"/>
        <v>-0.10250156510851419</v>
      </c>
      <c r="P848" s="18">
        <f t="shared" si="72"/>
        <v>-7859</v>
      </c>
      <c r="Q848" s="18">
        <f>SUM(P833:P848)</f>
        <v>201754</v>
      </c>
    </row>
    <row r="849" spans="1:16" x14ac:dyDescent="0.25">
      <c r="A849" s="1">
        <v>25140</v>
      </c>
      <c r="B849" s="1">
        <v>52270</v>
      </c>
      <c r="C849" s="1" t="s">
        <v>181</v>
      </c>
      <c r="G849" s="5">
        <v>26600</v>
      </c>
      <c r="H849" s="5">
        <v>26600</v>
      </c>
      <c r="I849" s="5">
        <v>26600</v>
      </c>
      <c r="J849" s="5">
        <f>[1]Expense!N426</f>
        <v>8040</v>
      </c>
      <c r="K849" s="5">
        <f>[1]Expense!I426</f>
        <v>21600</v>
      </c>
      <c r="L849" s="5">
        <f>[2]Expense!K398</f>
        <v>11305.98</v>
      </c>
      <c r="M849" s="5">
        <v>7396.5</v>
      </c>
      <c r="N849" s="5">
        <v>7555</v>
      </c>
      <c r="O849" s="38">
        <f>(G849-K849)/K849</f>
        <v>0.23148148148148148</v>
      </c>
      <c r="P849" s="18">
        <f t="shared" si="72"/>
        <v>5000</v>
      </c>
    </row>
    <row r="850" spans="1:16" x14ac:dyDescent="0.25">
      <c r="C850" s="1" t="s">
        <v>637</v>
      </c>
      <c r="D850" s="1">
        <v>12</v>
      </c>
      <c r="E850" s="1">
        <v>1800</v>
      </c>
      <c r="F850" s="1">
        <f>D850*E850</f>
        <v>21600</v>
      </c>
      <c r="G850" s="5"/>
      <c r="H850" s="5"/>
      <c r="J850" s="5"/>
      <c r="O850" s="38"/>
      <c r="P850" s="18"/>
    </row>
    <row r="851" spans="1:16" x14ac:dyDescent="0.25">
      <c r="C851" s="1" t="s">
        <v>638</v>
      </c>
      <c r="F851" s="1">
        <v>5000</v>
      </c>
      <c r="G851" s="5"/>
      <c r="H851" s="5"/>
      <c r="O851" s="38"/>
      <c r="P851" s="18"/>
    </row>
    <row r="852" spans="1:16" x14ac:dyDescent="0.25">
      <c r="A852" s="1">
        <v>25140</v>
      </c>
      <c r="B852" s="1">
        <v>52280</v>
      </c>
      <c r="C852" s="1" t="s">
        <v>48</v>
      </c>
      <c r="G852" s="5">
        <v>1000</v>
      </c>
      <c r="H852" s="5">
        <v>1000</v>
      </c>
      <c r="I852" s="5">
        <v>1000</v>
      </c>
      <c r="J852" s="5">
        <f>[1]Expense!N427</f>
        <v>1181</v>
      </c>
      <c r="K852" s="5">
        <f>[1]Expense!I427</f>
        <v>1000</v>
      </c>
      <c r="L852" s="5">
        <f>[2]Expense!K399</f>
        <v>1458.5</v>
      </c>
      <c r="M852" s="5">
        <v>1102.28</v>
      </c>
      <c r="N852" s="5">
        <v>1400.49</v>
      </c>
      <c r="O852" s="38">
        <f t="shared" ref="O852:O859" si="73">(G852-K852)/K852</f>
        <v>0</v>
      </c>
      <c r="P852" s="18">
        <f t="shared" ref="P852:P859" si="74">G852-K852</f>
        <v>0</v>
      </c>
    </row>
    <row r="853" spans="1:16" x14ac:dyDescent="0.25">
      <c r="A853" s="1">
        <v>25140</v>
      </c>
      <c r="B853" s="1">
        <v>53301</v>
      </c>
      <c r="C853" s="1" t="s">
        <v>121</v>
      </c>
      <c r="G853" s="59">
        <f>1181000+100000</f>
        <v>1281000</v>
      </c>
      <c r="H853" s="5">
        <v>1181000</v>
      </c>
      <c r="I853" s="5">
        <v>1181000</v>
      </c>
      <c r="J853" s="5">
        <f>[1]Expense!N428</f>
        <v>1308385</v>
      </c>
      <c r="K853" s="5">
        <f>[1]Expense!I428</f>
        <v>871500</v>
      </c>
      <c r="L853" s="5">
        <f>[2]Expense!K400</f>
        <v>725302.98</v>
      </c>
      <c r="M853" s="5">
        <v>206005.16</v>
      </c>
      <c r="N853" s="5">
        <v>418653.11</v>
      </c>
      <c r="O853" s="38">
        <f t="shared" si="73"/>
        <v>0.46987951807228917</v>
      </c>
      <c r="P853" s="18">
        <f t="shared" si="74"/>
        <v>409500</v>
      </c>
    </row>
    <row r="854" spans="1:16" x14ac:dyDescent="0.25">
      <c r="A854" s="1">
        <v>25140</v>
      </c>
      <c r="B854" s="1">
        <v>53500</v>
      </c>
      <c r="C854" s="1" t="s">
        <v>123</v>
      </c>
      <c r="D854" s="1">
        <v>12</v>
      </c>
      <c r="E854" s="1">
        <v>12000</v>
      </c>
      <c r="F854" s="1">
        <v>144000</v>
      </c>
      <c r="G854" s="59">
        <v>132000</v>
      </c>
      <c r="H854" s="5">
        <v>144000</v>
      </c>
      <c r="I854" s="5">
        <v>144000</v>
      </c>
      <c r="J854" s="5">
        <f>[1]Expense!N429</f>
        <v>129956</v>
      </c>
      <c r="K854" s="5">
        <f>[1]Expense!I429</f>
        <v>142500</v>
      </c>
      <c r="L854" s="5">
        <f>[2]Expense!K401</f>
        <v>120754.87</v>
      </c>
      <c r="M854" s="5">
        <v>172543</v>
      </c>
      <c r="N854" s="5">
        <f>150695.11+38391.73</f>
        <v>189086.84</v>
      </c>
      <c r="O854" s="38">
        <f t="shared" si="73"/>
        <v>-7.3684210526315783E-2</v>
      </c>
      <c r="P854" s="18">
        <f t="shared" si="74"/>
        <v>-10500</v>
      </c>
    </row>
    <row r="855" spans="1:16" x14ac:dyDescent="0.25">
      <c r="A855" s="1">
        <v>25140</v>
      </c>
      <c r="B855" s="1">
        <v>56000</v>
      </c>
      <c r="C855" s="1" t="s">
        <v>182</v>
      </c>
      <c r="D855" s="1">
        <v>12</v>
      </c>
      <c r="E855" s="1">
        <v>2464</v>
      </c>
      <c r="F855" s="1">
        <f>D855*E855</f>
        <v>29568</v>
      </c>
      <c r="G855" s="59">
        <v>30862</v>
      </c>
      <c r="H855" s="5">
        <v>29768</v>
      </c>
      <c r="I855" s="5">
        <v>29768</v>
      </c>
      <c r="J855" s="5">
        <f>[1]Expense!N430</f>
        <v>30169</v>
      </c>
      <c r="K855" s="5">
        <f>[1]Expense!I430</f>
        <v>22000</v>
      </c>
      <c r="L855" s="5">
        <f>[2]Expense!K402</f>
        <v>26084.09</v>
      </c>
      <c r="M855" s="5">
        <v>28288.959999999999</v>
      </c>
      <c r="N855" s="5">
        <v>37504.449999999997</v>
      </c>
      <c r="O855" s="38">
        <f t="shared" si="73"/>
        <v>0.4028181818181818</v>
      </c>
      <c r="P855" s="18">
        <f t="shared" si="74"/>
        <v>8862</v>
      </c>
    </row>
    <row r="856" spans="1:16" x14ac:dyDescent="0.25">
      <c r="A856" s="1">
        <v>25140</v>
      </c>
      <c r="B856" s="1">
        <v>56115</v>
      </c>
      <c r="C856" s="1" t="s">
        <v>168</v>
      </c>
      <c r="D856" s="1">
        <v>25</v>
      </c>
      <c r="E856" s="1">
        <v>200</v>
      </c>
      <c r="F856" s="1">
        <v>5000</v>
      </c>
      <c r="G856" s="59">
        <f>5000+9200</f>
        <v>14200</v>
      </c>
      <c r="H856" s="5">
        <v>5000</v>
      </c>
      <c r="I856" s="5">
        <v>5000</v>
      </c>
      <c r="J856" s="5">
        <f>[1]Expense!N431</f>
        <v>3991</v>
      </c>
      <c r="K856" s="5">
        <f>[1]Expense!I431</f>
        <v>5000</v>
      </c>
      <c r="L856" s="5">
        <f>[2]Expense!K403</f>
        <v>4109.6000000000004</v>
      </c>
      <c r="M856" s="5">
        <v>4107.1000000000004</v>
      </c>
      <c r="N856" s="5">
        <v>5141.59</v>
      </c>
      <c r="O856" s="38">
        <f>(G856-K856)/K856</f>
        <v>1.84</v>
      </c>
      <c r="P856" s="18">
        <f t="shared" si="74"/>
        <v>9200</v>
      </c>
    </row>
    <row r="857" spans="1:16" x14ac:dyDescent="0.25">
      <c r="A857" s="1">
        <v>25140</v>
      </c>
      <c r="B857" s="1">
        <v>56136</v>
      </c>
      <c r="C857" s="1" t="s">
        <v>183</v>
      </c>
      <c r="G857" s="5"/>
      <c r="H857" s="5"/>
      <c r="J857" s="5">
        <f>[1]Expense!N432</f>
        <v>-88</v>
      </c>
      <c r="K857" s="5">
        <f>[1]Expense!I432</f>
        <v>0</v>
      </c>
      <c r="L857" s="5">
        <f>[2]Expense!K404</f>
        <v>-197.45</v>
      </c>
      <c r="M857" s="5">
        <v>-42.26</v>
      </c>
      <c r="N857" s="5">
        <v>-131.57</v>
      </c>
      <c r="O857" s="38" t="e">
        <f t="shared" si="73"/>
        <v>#DIV/0!</v>
      </c>
      <c r="P857" s="18">
        <f t="shared" si="74"/>
        <v>0</v>
      </c>
    </row>
    <row r="858" spans="1:16" x14ac:dyDescent="0.25">
      <c r="A858" s="1">
        <v>25140</v>
      </c>
      <c r="B858" s="1">
        <v>56680</v>
      </c>
      <c r="C858" s="1" t="s">
        <v>43</v>
      </c>
      <c r="G858" s="5"/>
      <c r="H858" s="5"/>
      <c r="J858" s="1">
        <f>[1]Expense!$J$433</f>
        <v>2915</v>
      </c>
      <c r="L858" s="5">
        <f>[2]Expense!K405</f>
        <v>199.99</v>
      </c>
      <c r="M858" s="5">
        <v>19553</v>
      </c>
      <c r="N858" s="5">
        <v>0</v>
      </c>
      <c r="O858" s="38" t="e">
        <f t="shared" si="73"/>
        <v>#DIV/0!</v>
      </c>
      <c r="P858" s="18">
        <f t="shared" si="74"/>
        <v>0</v>
      </c>
    </row>
    <row r="859" spans="1:16" s="8" customFormat="1" x14ac:dyDescent="0.25">
      <c r="A859" s="8" t="s">
        <v>12</v>
      </c>
      <c r="B859" s="8" t="s">
        <v>184</v>
      </c>
      <c r="G859" s="21">
        <f t="shared" ref="G859" si="75">SUM(G833:G858)</f>
        <v>7673044</v>
      </c>
      <c r="H859" s="21">
        <f t="shared" ref="H859:N859" si="76">SUM(H833:H858)</f>
        <v>7801818</v>
      </c>
      <c r="I859" s="9">
        <f t="shared" si="76"/>
        <v>7801818</v>
      </c>
      <c r="J859" s="9">
        <f>SUM(J832:J858)</f>
        <v>6967649.3899999997</v>
      </c>
      <c r="K859" s="9">
        <f>SUM(K832:K858)</f>
        <v>7049228</v>
      </c>
      <c r="L859" s="9">
        <f t="shared" si="76"/>
        <v>5796834.8000000007</v>
      </c>
      <c r="M859" s="9">
        <f t="shared" si="76"/>
        <v>5143992.120000001</v>
      </c>
      <c r="N859" s="9">
        <f t="shared" si="76"/>
        <v>5727269.879999999</v>
      </c>
      <c r="O859" s="39">
        <f t="shared" si="73"/>
        <v>8.8494229439025102E-2</v>
      </c>
      <c r="P859" s="40">
        <f t="shared" si="74"/>
        <v>623816</v>
      </c>
    </row>
    <row r="860" spans="1:16" x14ac:dyDescent="0.25">
      <c r="G860" s="19"/>
      <c r="J860" s="5"/>
      <c r="L860" s="9"/>
      <c r="O860" s="38"/>
      <c r="P860" s="18"/>
    </row>
    <row r="861" spans="1:16" s="8" customFormat="1" x14ac:dyDescent="0.25">
      <c r="A861" s="8">
        <v>25160</v>
      </c>
      <c r="B861" s="8" t="s">
        <v>185</v>
      </c>
      <c r="G861" s="21"/>
      <c r="H861" s="21"/>
      <c r="I861" s="9"/>
      <c r="J861" s="1"/>
      <c r="K861" s="5"/>
      <c r="L861" s="5"/>
      <c r="M861" s="9"/>
      <c r="N861" s="9"/>
      <c r="O861" s="38"/>
      <c r="P861" s="18"/>
    </row>
    <row r="862" spans="1:16" x14ac:dyDescent="0.25">
      <c r="A862" s="1">
        <v>25160</v>
      </c>
      <c r="B862" s="1">
        <v>51100</v>
      </c>
      <c r="C862" s="1" t="s">
        <v>15</v>
      </c>
      <c r="G862" s="5">
        <v>90300</v>
      </c>
      <c r="H862" s="5">
        <v>90300</v>
      </c>
      <c r="I862" s="5">
        <v>90300</v>
      </c>
      <c r="J862" s="1">
        <f>[1]Expense!N437</f>
        <v>92792.08</v>
      </c>
      <c r="K862" s="5">
        <f>[1]Expense!I437</f>
        <v>121100</v>
      </c>
      <c r="L862" s="5">
        <f>[2]Expense!K409</f>
        <v>104733.44</v>
      </c>
      <c r="M862" s="5">
        <f>91799.3+300</f>
        <v>92099.3</v>
      </c>
      <c r="N862" s="5">
        <f>91120.87+150</f>
        <v>91270.87</v>
      </c>
      <c r="O862" s="38">
        <f t="shared" ref="O862:O867" si="77">(G862-K862)/K862</f>
        <v>-0.25433526011560692</v>
      </c>
      <c r="P862" s="18">
        <f t="shared" ref="P862:P867" si="78">G862-K862</f>
        <v>-30800</v>
      </c>
    </row>
    <row r="863" spans="1:16" x14ac:dyDescent="0.25">
      <c r="A863" s="1">
        <v>25160</v>
      </c>
      <c r="B863" s="1">
        <v>51400</v>
      </c>
      <c r="C863" s="1" t="s">
        <v>18</v>
      </c>
      <c r="G863" s="5">
        <v>100</v>
      </c>
      <c r="H863" s="5">
        <v>100</v>
      </c>
      <c r="I863" s="5">
        <v>100</v>
      </c>
      <c r="J863" s="5">
        <f>[1]Expense!N438</f>
        <v>21.2</v>
      </c>
      <c r="K863" s="5">
        <f>[1]Expense!I438</f>
        <v>0</v>
      </c>
      <c r="L863" s="5">
        <f>[2]Expense!K410</f>
        <v>243.5</v>
      </c>
      <c r="M863" s="5">
        <v>11.41</v>
      </c>
      <c r="N863" s="5">
        <v>0</v>
      </c>
      <c r="O863" s="38" t="e">
        <f t="shared" si="77"/>
        <v>#DIV/0!</v>
      </c>
      <c r="P863" s="18">
        <f t="shared" si="78"/>
        <v>100</v>
      </c>
    </row>
    <row r="864" spans="1:16" x14ac:dyDescent="0.25">
      <c r="A864" s="1">
        <v>25160</v>
      </c>
      <c r="B864" s="1">
        <v>51500</v>
      </c>
      <c r="C864" s="1" t="s">
        <v>61</v>
      </c>
      <c r="G864" s="59">
        <v>7495</v>
      </c>
      <c r="H864" s="5">
        <v>6000</v>
      </c>
      <c r="I864" s="5">
        <v>6000</v>
      </c>
      <c r="J864" s="5">
        <f>[1]Expense!N439</f>
        <v>8307.6</v>
      </c>
      <c r="K864" s="5">
        <f>[1]Expense!I439</f>
        <v>12000</v>
      </c>
      <c r="L864" s="5">
        <f>[2]Expense!K411</f>
        <v>12000</v>
      </c>
      <c r="M864" s="5">
        <v>1701.91</v>
      </c>
      <c r="N864" s="5">
        <v>28.85</v>
      </c>
      <c r="O864" s="38">
        <f t="shared" si="77"/>
        <v>-0.37541666666666668</v>
      </c>
      <c r="P864" s="18">
        <f t="shared" si="78"/>
        <v>-4505</v>
      </c>
    </row>
    <row r="865" spans="1:17" x14ac:dyDescent="0.25">
      <c r="A865" s="1">
        <v>25160</v>
      </c>
      <c r="B865" s="1">
        <v>51510</v>
      </c>
      <c r="C865" s="1" t="s">
        <v>20</v>
      </c>
      <c r="G865" s="59">
        <v>452</v>
      </c>
      <c r="H865" s="5"/>
      <c r="J865" s="5"/>
      <c r="M865" s="5">
        <v>298.56</v>
      </c>
      <c r="N865" s="5">
        <v>685.2</v>
      </c>
      <c r="O865" s="38" t="e">
        <f t="shared" si="77"/>
        <v>#DIV/0!</v>
      </c>
      <c r="P865" s="18">
        <f t="shared" si="78"/>
        <v>452</v>
      </c>
    </row>
    <row r="866" spans="1:17" x14ac:dyDescent="0.25">
      <c r="B866" s="1">
        <v>51520</v>
      </c>
      <c r="C866" s="1" t="s">
        <v>21</v>
      </c>
      <c r="G866" s="5">
        <v>700</v>
      </c>
      <c r="H866" s="5">
        <v>700</v>
      </c>
      <c r="I866" s="5">
        <v>700</v>
      </c>
      <c r="J866" s="5">
        <f>[1]Expense!N440</f>
        <v>0</v>
      </c>
      <c r="K866" s="5">
        <f>[1]Expense!I440</f>
        <v>0</v>
      </c>
      <c r="O866" s="38" t="e">
        <f t="shared" si="77"/>
        <v>#DIV/0!</v>
      </c>
      <c r="P866" s="18">
        <f t="shared" si="78"/>
        <v>700</v>
      </c>
    </row>
    <row r="867" spans="1:17" x14ac:dyDescent="0.25">
      <c r="A867" s="1">
        <v>25160</v>
      </c>
      <c r="B867" s="1">
        <v>52100</v>
      </c>
      <c r="C867" s="1" t="s">
        <v>22</v>
      </c>
      <c r="G867" s="59">
        <f>SUM(F868:F869)</f>
        <v>37050</v>
      </c>
      <c r="H867" s="5">
        <v>13000</v>
      </c>
      <c r="I867" s="5">
        <v>13000</v>
      </c>
      <c r="J867" s="5">
        <f>[1]Expense!N441</f>
        <v>10588.47</v>
      </c>
      <c r="K867" s="5">
        <f>[1]Expense!I441</f>
        <v>10073</v>
      </c>
      <c r="L867" s="5">
        <f>[2]Expense!K412</f>
        <v>11553.58</v>
      </c>
      <c r="M867" s="5">
        <f>35394+105.56</f>
        <v>35499.56</v>
      </c>
      <c r="N867" s="5">
        <f>58977.37+95.94</f>
        <v>59073.310000000005</v>
      </c>
      <c r="O867" s="38">
        <f>(G867-K867)/K867</f>
        <v>2.6781495085873126</v>
      </c>
      <c r="P867" s="18">
        <f t="shared" si="78"/>
        <v>26977</v>
      </c>
    </row>
    <row r="868" spans="1:17" x14ac:dyDescent="0.25">
      <c r="C868" s="1" t="s">
        <v>598</v>
      </c>
      <c r="F868" s="1">
        <v>36050</v>
      </c>
      <c r="G868" s="5"/>
      <c r="H868" s="5"/>
      <c r="J868" s="5"/>
      <c r="O868" s="38"/>
      <c r="P868" s="18"/>
    </row>
    <row r="869" spans="1:17" x14ac:dyDescent="0.25">
      <c r="C869" s="1" t="s">
        <v>599</v>
      </c>
      <c r="D869" s="1">
        <v>2</v>
      </c>
      <c r="E869" s="1">
        <v>500</v>
      </c>
      <c r="F869" s="1">
        <v>1000</v>
      </c>
      <c r="G869" s="5"/>
      <c r="H869" s="5"/>
      <c r="O869" s="38"/>
      <c r="P869" s="18"/>
    </row>
    <row r="870" spans="1:17" x14ac:dyDescent="0.25">
      <c r="A870" s="1">
        <v>25160</v>
      </c>
      <c r="B870" s="1">
        <v>52140</v>
      </c>
      <c r="C870" s="1" t="s">
        <v>23</v>
      </c>
      <c r="G870" s="19">
        <v>1169</v>
      </c>
      <c r="H870" s="19">
        <v>1169</v>
      </c>
      <c r="I870" s="19">
        <v>1169</v>
      </c>
      <c r="J870" s="5">
        <f>[1]Expense!N442</f>
        <v>0</v>
      </c>
      <c r="K870" s="5">
        <f>[1]Expense!I442</f>
        <v>474.3</v>
      </c>
      <c r="O870" s="38">
        <f t="shared" ref="O870:O878" si="79">(G870-K870)/K870</f>
        <v>1.464684798650643</v>
      </c>
      <c r="P870" s="18">
        <f t="shared" ref="P870:P881" si="80">G870-K870</f>
        <v>694.7</v>
      </c>
    </row>
    <row r="871" spans="1:17" x14ac:dyDescent="0.25">
      <c r="A871" s="1">
        <v>25160</v>
      </c>
      <c r="B871" s="1">
        <v>52200</v>
      </c>
      <c r="C871" s="1" t="s">
        <v>24</v>
      </c>
      <c r="G871" s="5">
        <v>7450</v>
      </c>
      <c r="H871" s="5">
        <v>7450</v>
      </c>
      <c r="I871" s="5">
        <v>7450</v>
      </c>
      <c r="J871" s="5">
        <f>[1]Expense!N443</f>
        <v>7498.28</v>
      </c>
      <c r="K871" s="5">
        <f>[1]Expense!I443</f>
        <v>10300</v>
      </c>
      <c r="L871" s="5">
        <f>[2]Expense!K413</f>
        <v>8730.19</v>
      </c>
      <c r="M871" s="5">
        <f>6900.89+67.99</f>
        <v>6968.88</v>
      </c>
      <c r="N871" s="5">
        <f>6691.8+1158.41</f>
        <v>7850.21</v>
      </c>
      <c r="O871" s="38">
        <f t="shared" si="79"/>
        <v>-0.27669902912621358</v>
      </c>
      <c r="P871" s="18">
        <f t="shared" si="80"/>
        <v>-2850</v>
      </c>
    </row>
    <row r="872" spans="1:17" x14ac:dyDescent="0.25">
      <c r="A872" s="1">
        <v>25160</v>
      </c>
      <c r="B872" s="1">
        <v>52230</v>
      </c>
      <c r="C872" s="1" t="s">
        <v>25</v>
      </c>
      <c r="G872" s="5">
        <v>13400</v>
      </c>
      <c r="H872" s="5">
        <v>13400</v>
      </c>
      <c r="I872" s="5">
        <v>13400</v>
      </c>
      <c r="J872" s="5">
        <f>[1]Expense!N444</f>
        <v>13579.22</v>
      </c>
      <c r="K872" s="5">
        <f>[1]Expense!I444</f>
        <v>18500</v>
      </c>
      <c r="L872" s="5">
        <f>[2]Expense!K414</f>
        <v>14784.3</v>
      </c>
      <c r="M872" s="5">
        <f>11731.53+33.54</f>
        <v>11765.070000000002</v>
      </c>
      <c r="N872" s="5">
        <f>10254.45+16.77</f>
        <v>10271.220000000001</v>
      </c>
      <c r="O872" s="38">
        <f t="shared" si="79"/>
        <v>-0.27567567567567569</v>
      </c>
      <c r="P872" s="18">
        <f t="shared" si="80"/>
        <v>-5100</v>
      </c>
    </row>
    <row r="873" spans="1:17" x14ac:dyDescent="0.25">
      <c r="A873" s="1">
        <v>25160</v>
      </c>
      <c r="B873" s="1">
        <v>52250</v>
      </c>
      <c r="C873" s="1" t="s">
        <v>26</v>
      </c>
      <c r="G873" s="19">
        <v>105</v>
      </c>
      <c r="H873" s="19">
        <v>105</v>
      </c>
      <c r="I873" s="19">
        <v>105</v>
      </c>
      <c r="J873" s="5">
        <f>[1]Expense!N445</f>
        <v>80.569999999999993</v>
      </c>
      <c r="K873" s="5">
        <f>[1]Expense!I445</f>
        <v>81</v>
      </c>
      <c r="L873" s="5">
        <f>[2]Expense!K415</f>
        <v>89.43</v>
      </c>
      <c r="M873" s="5">
        <v>99.77</v>
      </c>
      <c r="N873" s="5">
        <v>99.77</v>
      </c>
      <c r="O873" s="38">
        <f>(G873-K873)/K873</f>
        <v>0.29629629629629628</v>
      </c>
      <c r="P873" s="18">
        <f t="shared" si="80"/>
        <v>24</v>
      </c>
    </row>
    <row r="874" spans="1:17" x14ac:dyDescent="0.25">
      <c r="A874" s="1">
        <v>25160</v>
      </c>
      <c r="B874" s="1">
        <v>52260</v>
      </c>
      <c r="C874" s="1" t="s">
        <v>27</v>
      </c>
      <c r="G874" s="19">
        <v>2570</v>
      </c>
      <c r="H874" s="19">
        <v>2570</v>
      </c>
      <c r="I874" s="19">
        <v>2570</v>
      </c>
      <c r="J874" s="5">
        <f>[1]Expense!N446</f>
        <v>2243.42</v>
      </c>
      <c r="K874" s="5">
        <f>[1]Expense!I446</f>
        <v>2244</v>
      </c>
      <c r="L874" s="5">
        <f>[2]Expense!K416</f>
        <v>2492</v>
      </c>
      <c r="M874" s="5">
        <v>2700</v>
      </c>
      <c r="N874" s="5">
        <v>3146</v>
      </c>
      <c r="O874" s="38">
        <f t="shared" si="79"/>
        <v>0.14527629233511585</v>
      </c>
      <c r="P874" s="18">
        <f t="shared" si="80"/>
        <v>326</v>
      </c>
      <c r="Q874" s="18">
        <f>SUM(P862:P874)</f>
        <v>-13981.3</v>
      </c>
    </row>
    <row r="875" spans="1:17" x14ac:dyDescent="0.25">
      <c r="A875" s="1">
        <v>25160</v>
      </c>
      <c r="B875" s="1">
        <v>56000</v>
      </c>
      <c r="C875" s="1" t="s">
        <v>186</v>
      </c>
      <c r="G875" s="5">
        <v>4000</v>
      </c>
      <c r="H875" s="5">
        <v>4000</v>
      </c>
      <c r="I875" s="5">
        <v>4000</v>
      </c>
      <c r="J875" s="5">
        <f>[1]Expense!N447</f>
        <v>4237.9399999999996</v>
      </c>
      <c r="K875" s="5">
        <f>[1]Expense!I447</f>
        <v>4000</v>
      </c>
      <c r="L875" s="5">
        <f>[2]Expense!K417</f>
        <v>5424.43</v>
      </c>
      <c r="M875" s="5">
        <v>6258.22</v>
      </c>
      <c r="N875" s="5">
        <f>7238.55+691.8</f>
        <v>7930.35</v>
      </c>
      <c r="O875" s="38">
        <f t="shared" si="79"/>
        <v>0</v>
      </c>
      <c r="P875" s="18">
        <f t="shared" si="80"/>
        <v>0</v>
      </c>
    </row>
    <row r="876" spans="1:17" x14ac:dyDescent="0.25">
      <c r="A876" s="1">
        <v>25160</v>
      </c>
      <c r="B876" s="1">
        <v>56100</v>
      </c>
      <c r="C876" s="1" t="s">
        <v>71</v>
      </c>
      <c r="G876" s="5">
        <v>6500</v>
      </c>
      <c r="H876" s="5">
        <v>6500</v>
      </c>
      <c r="I876" s="5">
        <v>6500</v>
      </c>
      <c r="J876" s="5">
        <f>[1]Expense!N448</f>
        <v>4768.8500000000004</v>
      </c>
      <c r="K876" s="5">
        <f>[1]Expense!I448</f>
        <v>6500</v>
      </c>
      <c r="L876" s="5">
        <f>[2]Expense!K418</f>
        <v>7695</v>
      </c>
      <c r="M876" s="5">
        <v>9140.44</v>
      </c>
      <c r="N876" s="5">
        <v>8952.5300000000007</v>
      </c>
      <c r="O876" s="38">
        <f t="shared" si="79"/>
        <v>0</v>
      </c>
      <c r="P876" s="18">
        <f t="shared" si="80"/>
        <v>0</v>
      </c>
    </row>
    <row r="877" spans="1:17" x14ac:dyDescent="0.25">
      <c r="A877" s="1">
        <v>25160</v>
      </c>
      <c r="B877" s="1">
        <v>56115</v>
      </c>
      <c r="C877" s="1" t="s">
        <v>168</v>
      </c>
      <c r="D877" s="1">
        <v>2</v>
      </c>
      <c r="E877" s="1">
        <v>200</v>
      </c>
      <c r="F877" s="1">
        <v>400</v>
      </c>
      <c r="G877" s="5">
        <v>400</v>
      </c>
      <c r="H877" s="5">
        <v>400</v>
      </c>
      <c r="I877" s="5">
        <v>400</v>
      </c>
      <c r="J877" s="5">
        <f>[1]Expense!N449</f>
        <v>400</v>
      </c>
      <c r="K877" s="5">
        <f>[1]Expense!I449</f>
        <v>600</v>
      </c>
      <c r="L877" s="5">
        <f>[2]Expense!K419</f>
        <v>582.79999999999995</v>
      </c>
      <c r="M877" s="5">
        <v>599.22</v>
      </c>
      <c r="N877" s="5">
        <v>600</v>
      </c>
      <c r="O877" s="38">
        <f t="shared" si="79"/>
        <v>-0.33333333333333331</v>
      </c>
      <c r="P877" s="18">
        <f t="shared" si="80"/>
        <v>-200</v>
      </c>
    </row>
    <row r="878" spans="1:17" x14ac:dyDescent="0.25">
      <c r="A878" s="1">
        <v>25160</v>
      </c>
      <c r="B878" s="1">
        <v>56136</v>
      </c>
      <c r="C878" s="1" t="s">
        <v>183</v>
      </c>
      <c r="G878" s="5">
        <v>-3780</v>
      </c>
      <c r="H878" s="5">
        <v>-3780</v>
      </c>
      <c r="I878" s="5">
        <v>-3780</v>
      </c>
      <c r="J878" s="5">
        <f>[1]Expense!$J$450</f>
        <v>-2681.2</v>
      </c>
      <c r="K878" s="5">
        <f>[1]Expense!$I$450</f>
        <v>-3780</v>
      </c>
      <c r="L878" s="5">
        <f>[2]Expense!K420</f>
        <v>-2313.0500000000002</v>
      </c>
      <c r="M878" s="5">
        <v>-2565.6999999999998</v>
      </c>
      <c r="N878" s="5">
        <v>-2595.31</v>
      </c>
      <c r="O878" s="38">
        <f t="shared" si="79"/>
        <v>0</v>
      </c>
      <c r="P878" s="18">
        <f t="shared" si="80"/>
        <v>0</v>
      </c>
    </row>
    <row r="879" spans="1:17" x14ac:dyDescent="0.25">
      <c r="C879" s="1" t="s">
        <v>639</v>
      </c>
      <c r="G879" s="19"/>
      <c r="O879" s="38"/>
      <c r="P879" s="18">
        <f t="shared" si="80"/>
        <v>0</v>
      </c>
    </row>
    <row r="880" spans="1:17" s="8" customFormat="1" x14ac:dyDescent="0.25">
      <c r="A880" s="8" t="s">
        <v>12</v>
      </c>
      <c r="B880" s="8" t="s">
        <v>187</v>
      </c>
      <c r="G880" s="21">
        <f t="shared" ref="G880" si="81">SUM(G862:G878)</f>
        <v>167911</v>
      </c>
      <c r="H880" s="21">
        <f t="shared" ref="H880:N880" si="82">SUM(H862:H878)</f>
        <v>141914</v>
      </c>
      <c r="I880" s="9">
        <f t="shared" si="82"/>
        <v>141914</v>
      </c>
      <c r="J880" s="9">
        <f>SUM(J861:J879)</f>
        <v>141836.43000000002</v>
      </c>
      <c r="K880" s="9">
        <f>SUM(K861:K879)</f>
        <v>182092.3</v>
      </c>
      <c r="L880" s="9">
        <f t="shared" si="82"/>
        <v>166015.61999999997</v>
      </c>
      <c r="M880" s="9">
        <f t="shared" si="82"/>
        <v>164576.63999999998</v>
      </c>
      <c r="N880" s="9">
        <f t="shared" si="82"/>
        <v>187313</v>
      </c>
      <c r="O880" s="39">
        <f>(G880-K880)/K880</f>
        <v>-7.7879734618102964E-2</v>
      </c>
      <c r="P880" s="40">
        <f t="shared" si="80"/>
        <v>-14181.299999999988</v>
      </c>
    </row>
    <row r="881" spans="1:17" x14ac:dyDescent="0.25">
      <c r="G881" s="19"/>
      <c r="J881" s="9"/>
      <c r="K881" s="9"/>
      <c r="L881" s="9"/>
      <c r="O881" s="38"/>
      <c r="P881" s="18">
        <f t="shared" si="80"/>
        <v>0</v>
      </c>
    </row>
    <row r="882" spans="1:17" s="8" customFormat="1" x14ac:dyDescent="0.25">
      <c r="A882" s="8">
        <v>25170</v>
      </c>
      <c r="B882" s="8" t="s">
        <v>188</v>
      </c>
      <c r="G882" s="21"/>
      <c r="H882" s="21"/>
      <c r="I882" s="9"/>
      <c r="J882" s="1"/>
      <c r="K882" s="5"/>
      <c r="L882" s="5"/>
      <c r="M882" s="9"/>
      <c r="N882" s="9"/>
      <c r="O882" s="38"/>
      <c r="P882" s="18"/>
    </row>
    <row r="883" spans="1:17" x14ac:dyDescent="0.25">
      <c r="A883" s="1">
        <v>25170</v>
      </c>
      <c r="B883" s="1">
        <v>51100</v>
      </c>
      <c r="C883" s="1" t="s">
        <v>15</v>
      </c>
      <c r="G883" s="5">
        <v>257600</v>
      </c>
      <c r="H883" s="5">
        <v>257600</v>
      </c>
      <c r="I883" s="5">
        <v>257600</v>
      </c>
      <c r="J883" s="1">
        <f>[1]Expense!N455</f>
        <v>216134</v>
      </c>
      <c r="K883" s="5">
        <f>[1]Expense!I455</f>
        <v>230250</v>
      </c>
      <c r="L883" s="5">
        <f>[2]Expense!K425</f>
        <v>219094.07</v>
      </c>
      <c r="M883" s="5">
        <f>174117.08+350</f>
        <v>174467.08</v>
      </c>
      <c r="N883" s="5">
        <f>211361.82+250</f>
        <v>211611.82</v>
      </c>
      <c r="O883" s="38">
        <f>(G883-K883)/K883</f>
        <v>0.11878393051031487</v>
      </c>
      <c r="P883" s="18">
        <f t="shared" ref="P883:P889" si="83">G883-K883</f>
        <v>27350</v>
      </c>
    </row>
    <row r="884" spans="1:17" x14ac:dyDescent="0.25">
      <c r="A884" s="1">
        <v>25170</v>
      </c>
      <c r="B884" s="1">
        <v>51200</v>
      </c>
      <c r="C884" s="1" t="s">
        <v>16</v>
      </c>
      <c r="G884" s="5">
        <v>34500</v>
      </c>
      <c r="H884" s="5">
        <v>34500</v>
      </c>
      <c r="I884" s="5">
        <v>34500</v>
      </c>
      <c r="J884" s="5">
        <f>[1]Expense!N456</f>
        <v>12779</v>
      </c>
      <c r="K884" s="5">
        <f>[1]Expense!I456</f>
        <v>56565</v>
      </c>
      <c r="L884" s="5">
        <f>[2]Expense!K426</f>
        <v>14281.41</v>
      </c>
      <c r="M884" s="5">
        <f>36512.16+200</f>
        <v>36712.160000000003</v>
      </c>
      <c r="N884" s="5">
        <f>29432.01+100</f>
        <v>29532.01</v>
      </c>
      <c r="O884" s="38">
        <f t="shared" ref="O883:O889" si="84">(G884-K884)/K884</f>
        <v>-0.39008220631132323</v>
      </c>
      <c r="P884" s="18">
        <f t="shared" si="83"/>
        <v>-22065</v>
      </c>
    </row>
    <row r="885" spans="1:17" x14ac:dyDescent="0.25">
      <c r="A885" s="1">
        <v>25170</v>
      </c>
      <c r="B885" s="1">
        <v>51400</v>
      </c>
      <c r="C885" s="1" t="s">
        <v>18</v>
      </c>
      <c r="G885" s="5">
        <v>10000</v>
      </c>
      <c r="H885" s="5">
        <v>10000</v>
      </c>
      <c r="I885" s="5">
        <v>10000</v>
      </c>
      <c r="J885" s="5">
        <f>[1]Expense!N457</f>
        <v>9726</v>
      </c>
      <c r="K885" s="5">
        <f>[1]Expense!I457</f>
        <v>10000</v>
      </c>
      <c r="L885" s="5">
        <f>[2]Expense!K427</f>
        <v>8492.4599999999991</v>
      </c>
      <c r="M885" s="5">
        <v>4254.5</v>
      </c>
      <c r="N885" s="5">
        <v>6068.53</v>
      </c>
      <c r="O885" s="38">
        <f t="shared" si="84"/>
        <v>0</v>
      </c>
      <c r="P885" s="18">
        <f t="shared" si="83"/>
        <v>0</v>
      </c>
    </row>
    <row r="886" spans="1:17" x14ac:dyDescent="0.25">
      <c r="A886" s="1">
        <v>25170</v>
      </c>
      <c r="B886" s="1">
        <v>51500</v>
      </c>
      <c r="C886" s="1" t="s">
        <v>61</v>
      </c>
      <c r="G886" s="59">
        <v>5555</v>
      </c>
      <c r="H886" s="5">
        <v>2776</v>
      </c>
      <c r="I886" s="5">
        <v>2776</v>
      </c>
      <c r="J886" s="5">
        <f>[1]Expense!N458</f>
        <v>4506</v>
      </c>
      <c r="K886" s="5">
        <f>[1]Expense!I458</f>
        <v>6000</v>
      </c>
      <c r="L886" s="5">
        <f>[2]Expense!K428</f>
        <v>4124.84</v>
      </c>
      <c r="M886" s="5">
        <v>0</v>
      </c>
      <c r="N886" s="5">
        <v>0</v>
      </c>
      <c r="O886" s="38">
        <f t="shared" si="84"/>
        <v>-7.4166666666666672E-2</v>
      </c>
      <c r="P886" s="18">
        <f t="shared" si="83"/>
        <v>-445</v>
      </c>
    </row>
    <row r="887" spans="1:17" x14ac:dyDescent="0.25">
      <c r="A887" s="1">
        <v>25170</v>
      </c>
      <c r="B887" s="1">
        <v>51510</v>
      </c>
      <c r="C887" s="1" t="s">
        <v>20</v>
      </c>
      <c r="G887" s="59">
        <v>378</v>
      </c>
      <c r="H887" s="5"/>
      <c r="J887" s="5">
        <f>[1]Expense!$J$459</f>
        <v>551.28</v>
      </c>
      <c r="K887" s="5">
        <f>[1]Expense!I459</f>
        <v>552</v>
      </c>
      <c r="M887" s="5">
        <v>493.44</v>
      </c>
      <c r="N887" s="5">
        <v>1481.04</v>
      </c>
      <c r="O887" s="38">
        <f t="shared" si="84"/>
        <v>-0.31521739130434784</v>
      </c>
      <c r="P887" s="18">
        <f t="shared" si="83"/>
        <v>-174</v>
      </c>
    </row>
    <row r="888" spans="1:17" x14ac:dyDescent="0.25">
      <c r="A888" s="1">
        <v>25170</v>
      </c>
      <c r="B888" s="1">
        <v>51520</v>
      </c>
      <c r="C888" s="1" t="s">
        <v>21</v>
      </c>
      <c r="G888" s="5">
        <v>300</v>
      </c>
      <c r="H888" s="5">
        <v>300</v>
      </c>
      <c r="I888" s="5">
        <v>300</v>
      </c>
      <c r="J888" s="5">
        <f>[1]Expense!N460</f>
        <v>0</v>
      </c>
      <c r="K888" s="5">
        <f>[1]Expense!I460</f>
        <v>950</v>
      </c>
      <c r="L888" s="5">
        <f>[2]Expense!K429</f>
        <v>930</v>
      </c>
      <c r="M888" s="5">
        <v>830</v>
      </c>
      <c r="N888" s="5">
        <v>550</v>
      </c>
      <c r="O888" s="38">
        <f t="shared" si="84"/>
        <v>-0.68421052631578949</v>
      </c>
      <c r="P888" s="18">
        <f t="shared" si="83"/>
        <v>-650</v>
      </c>
    </row>
    <row r="889" spans="1:17" x14ac:dyDescent="0.25">
      <c r="A889" s="1">
        <v>25170</v>
      </c>
      <c r="B889" s="1">
        <v>52100</v>
      </c>
      <c r="C889" s="1" t="s">
        <v>22</v>
      </c>
      <c r="G889" s="59">
        <f>SUM(F890:F891)</f>
        <v>112500</v>
      </c>
      <c r="H889" s="19">
        <v>116300</v>
      </c>
      <c r="I889" s="19">
        <v>116300</v>
      </c>
      <c r="J889" s="5">
        <f>[1]Expense!N461</f>
        <v>79763</v>
      </c>
      <c r="K889" s="5">
        <f>[1]Expense!I461</f>
        <v>81300</v>
      </c>
      <c r="L889" s="5">
        <f>[2]Expense!K430</f>
        <v>83793.240000000005</v>
      </c>
      <c r="M889" s="5">
        <f>83809.88+166.43</f>
        <v>83976.31</v>
      </c>
      <c r="N889" s="5">
        <f>88425.01+104.01</f>
        <v>88529.01999999999</v>
      </c>
      <c r="O889" s="38">
        <f t="shared" si="84"/>
        <v>0.3837638376383764</v>
      </c>
      <c r="P889" s="18">
        <f t="shared" si="83"/>
        <v>31200</v>
      </c>
    </row>
    <row r="890" spans="1:17" x14ac:dyDescent="0.25">
      <c r="C890" s="1" t="s">
        <v>598</v>
      </c>
      <c r="F890" s="1">
        <v>110000</v>
      </c>
      <c r="G890" s="19"/>
      <c r="I890" s="19"/>
      <c r="J890" s="5"/>
      <c r="O890" s="38"/>
      <c r="P890" s="18"/>
    </row>
    <row r="891" spans="1:17" x14ac:dyDescent="0.25">
      <c r="C891" s="1" t="s">
        <v>599</v>
      </c>
      <c r="D891" s="1">
        <v>5</v>
      </c>
      <c r="E891" s="1">
        <v>500</v>
      </c>
      <c r="F891" s="1">
        <f>D891*E891</f>
        <v>2500</v>
      </c>
      <c r="G891" s="19"/>
      <c r="I891" s="19"/>
      <c r="O891" s="38"/>
      <c r="P891" s="18"/>
    </row>
    <row r="892" spans="1:17" x14ac:dyDescent="0.25">
      <c r="A892" s="1">
        <v>25170</v>
      </c>
      <c r="B892" s="1">
        <v>52140</v>
      </c>
      <c r="C892" s="1" t="s">
        <v>23</v>
      </c>
      <c r="G892" s="59">
        <v>2336</v>
      </c>
      <c r="H892" s="19">
        <v>1169</v>
      </c>
      <c r="I892" s="19">
        <v>1169</v>
      </c>
      <c r="J892" s="5">
        <f>[1]Expense!N462</f>
        <v>136</v>
      </c>
      <c r="K892" s="5">
        <f>[1]Expense!I462</f>
        <v>495</v>
      </c>
      <c r="O892" s="38">
        <f t="shared" ref="O892:O899" si="85">(G892-K892)/K892</f>
        <v>3.7191919191919194</v>
      </c>
      <c r="P892" s="18">
        <f t="shared" ref="P892:P899" si="86">G892-K892</f>
        <v>1841</v>
      </c>
    </row>
    <row r="893" spans="1:17" x14ac:dyDescent="0.25">
      <c r="A893" s="1">
        <v>25170</v>
      </c>
      <c r="B893" s="1">
        <v>52200</v>
      </c>
      <c r="C893" s="1" t="s">
        <v>24</v>
      </c>
      <c r="G893" s="5">
        <v>23600</v>
      </c>
      <c r="H893" s="5">
        <v>23600</v>
      </c>
      <c r="I893" s="5">
        <v>23600</v>
      </c>
      <c r="J893" s="5">
        <f>[1]Expense!N463</f>
        <v>17642</v>
      </c>
      <c r="K893" s="5">
        <f>[1]Expense!I463</f>
        <v>21240</v>
      </c>
      <c r="L893" s="5">
        <f>[2]Expense!K431</f>
        <v>17957.13</v>
      </c>
      <c r="M893" s="5">
        <f>16192.92+178.79</f>
        <v>16371.710000000001</v>
      </c>
      <c r="N893" s="5">
        <f>18704.75+2688.53</f>
        <v>21393.279999999999</v>
      </c>
      <c r="O893" s="38">
        <f t="shared" si="85"/>
        <v>0.1111111111111111</v>
      </c>
      <c r="P893" s="18">
        <f t="shared" si="86"/>
        <v>2360</v>
      </c>
    </row>
    <row r="894" spans="1:17" x14ac:dyDescent="0.25">
      <c r="A894" s="1">
        <v>25170</v>
      </c>
      <c r="B894" s="1">
        <v>52230</v>
      </c>
      <c r="C894" s="1" t="s">
        <v>25</v>
      </c>
      <c r="G894" s="5">
        <v>38800</v>
      </c>
      <c r="H894" s="5">
        <v>38800</v>
      </c>
      <c r="I894" s="5">
        <v>38800</v>
      </c>
      <c r="J894" s="5">
        <f>[1]Expense!N464</f>
        <v>31833</v>
      </c>
      <c r="K894" s="5">
        <f>[1]Expense!I464</f>
        <v>33200</v>
      </c>
      <c r="L894" s="5">
        <f>[2]Expense!K432</f>
        <v>32135.24</v>
      </c>
      <c r="M894" s="5">
        <f>23207.61+39.09</f>
        <v>23246.7</v>
      </c>
      <c r="N894" s="5">
        <f>21409.82+27.92</f>
        <v>21437.739999999998</v>
      </c>
      <c r="O894" s="38">
        <f t="shared" si="85"/>
        <v>0.16867469879518071</v>
      </c>
      <c r="P894" s="18">
        <f t="shared" si="86"/>
        <v>5600</v>
      </c>
    </row>
    <row r="895" spans="1:17" x14ac:dyDescent="0.25">
      <c r="A895" s="1">
        <v>25170</v>
      </c>
      <c r="B895" s="1">
        <v>52250</v>
      </c>
      <c r="C895" s="1" t="s">
        <v>26</v>
      </c>
      <c r="G895" s="19">
        <v>235</v>
      </c>
      <c r="H895" s="19">
        <v>235</v>
      </c>
      <c r="I895" s="19">
        <v>235</v>
      </c>
      <c r="J895" s="5">
        <f>[1]Expense!N465</f>
        <v>188</v>
      </c>
      <c r="K895" s="5">
        <f>[1]Expense!I465</f>
        <v>188</v>
      </c>
      <c r="L895" s="5">
        <f>[2]Expense!K433</f>
        <v>268.3</v>
      </c>
      <c r="M895" s="5">
        <v>299.3</v>
      </c>
      <c r="N895" s="5">
        <v>299.3</v>
      </c>
      <c r="O895" s="38">
        <f t="shared" si="85"/>
        <v>0.25</v>
      </c>
      <c r="P895" s="18">
        <f t="shared" si="86"/>
        <v>47</v>
      </c>
    </row>
    <row r="896" spans="1:17" x14ac:dyDescent="0.25">
      <c r="A896" s="1">
        <v>25170</v>
      </c>
      <c r="B896" s="1">
        <v>52260</v>
      </c>
      <c r="C896" s="1" t="s">
        <v>27</v>
      </c>
      <c r="G896" s="19">
        <v>5158</v>
      </c>
      <c r="H896" s="19">
        <v>5158</v>
      </c>
      <c r="I896" s="19">
        <v>5158</v>
      </c>
      <c r="J896" s="4">
        <f>[1]Expense!$J$466</f>
        <v>7764.02</v>
      </c>
      <c r="K896" s="5">
        <f>[1]Expense!I466</f>
        <v>7765</v>
      </c>
      <c r="L896" s="5">
        <f>[2]Expense!K434</f>
        <v>10289</v>
      </c>
      <c r="M896" s="5">
        <v>8094</v>
      </c>
      <c r="N896" s="5">
        <v>9432</v>
      </c>
      <c r="O896" s="38">
        <f t="shared" si="85"/>
        <v>-0.33573728267868641</v>
      </c>
      <c r="P896" s="18">
        <f t="shared" si="86"/>
        <v>-2607</v>
      </c>
      <c r="Q896" s="18">
        <f>SUM(P883:P896)</f>
        <v>42457</v>
      </c>
    </row>
    <row r="897" spans="1:16" x14ac:dyDescent="0.25">
      <c r="A897" s="1">
        <v>25170</v>
      </c>
      <c r="B897" s="1">
        <v>56100</v>
      </c>
      <c r="C897" s="1" t="s">
        <v>71</v>
      </c>
      <c r="G897" s="59">
        <v>21000</v>
      </c>
      <c r="H897" s="5">
        <v>25000</v>
      </c>
      <c r="I897" s="5">
        <v>25000</v>
      </c>
      <c r="J897" s="1">
        <f>[1]Expense!N467</f>
        <v>20727</v>
      </c>
      <c r="K897" s="5">
        <f>[1]Expense!I467</f>
        <v>20000</v>
      </c>
      <c r="L897" s="5">
        <f>[2]Expense!K435</f>
        <v>12763.34</v>
      </c>
      <c r="M897" s="5">
        <f>23268.81+510.44</f>
        <v>23779.25</v>
      </c>
      <c r="N897" s="5">
        <f>15766.13+10591.2</f>
        <v>26357.33</v>
      </c>
      <c r="O897" s="38">
        <f t="shared" si="85"/>
        <v>0.05</v>
      </c>
      <c r="P897" s="18">
        <f t="shared" si="86"/>
        <v>1000</v>
      </c>
    </row>
    <row r="898" spans="1:16" x14ac:dyDescent="0.25">
      <c r="A898" s="1">
        <v>25170</v>
      </c>
      <c r="B898" s="1">
        <v>56115</v>
      </c>
      <c r="C898" s="1" t="s">
        <v>168</v>
      </c>
      <c r="D898" s="1">
        <v>5</v>
      </c>
      <c r="E898" s="1">
        <v>200</v>
      </c>
      <c r="F898" s="1">
        <v>1000</v>
      </c>
      <c r="G898" s="5">
        <v>1000</v>
      </c>
      <c r="H898" s="5">
        <v>1000</v>
      </c>
      <c r="I898" s="5">
        <v>1000</v>
      </c>
      <c r="J898" s="1">
        <f>[1]Expense!$J$468</f>
        <v>200</v>
      </c>
      <c r="K898" s="5">
        <f>[1]Expense!$I$468</f>
        <v>800</v>
      </c>
      <c r="L898" s="5">
        <f>[2]Expense!K436</f>
        <v>400</v>
      </c>
      <c r="M898" s="5">
        <v>400</v>
      </c>
      <c r="N898" s="5">
        <v>495.92</v>
      </c>
      <c r="O898" s="38">
        <f>(G898-K898)/K898</f>
        <v>0.25</v>
      </c>
      <c r="P898" s="18">
        <f t="shared" si="86"/>
        <v>200</v>
      </c>
    </row>
    <row r="899" spans="1:16" s="8" customFormat="1" x14ac:dyDescent="0.25">
      <c r="A899" s="8" t="s">
        <v>12</v>
      </c>
      <c r="B899" s="8" t="s">
        <v>189</v>
      </c>
      <c r="G899" s="21">
        <f t="shared" ref="G899" si="87">SUM(G883:G898)</f>
        <v>512962</v>
      </c>
      <c r="H899" s="21">
        <f t="shared" ref="H899:N899" si="88">SUM(H883:H898)</f>
        <v>516438</v>
      </c>
      <c r="I899" s="9">
        <f t="shared" si="88"/>
        <v>516438</v>
      </c>
      <c r="J899" s="9">
        <f>SUM(J883:J898)</f>
        <v>401949.30000000005</v>
      </c>
      <c r="K899" s="9">
        <f>SUM(K882:K898)</f>
        <v>469305</v>
      </c>
      <c r="L899" s="9">
        <f t="shared" si="88"/>
        <v>404529.03</v>
      </c>
      <c r="M899" s="9">
        <f t="shared" si="88"/>
        <v>372924.45</v>
      </c>
      <c r="N899" s="9">
        <f t="shared" si="88"/>
        <v>417187.99000000005</v>
      </c>
      <c r="O899" s="39">
        <f t="shared" si="85"/>
        <v>9.3024791979629456E-2</v>
      </c>
      <c r="P899" s="40">
        <f t="shared" si="86"/>
        <v>43657</v>
      </c>
    </row>
    <row r="900" spans="1:16" x14ac:dyDescent="0.25">
      <c r="G900" s="19"/>
      <c r="J900" s="5"/>
      <c r="L900" s="9"/>
      <c r="O900" s="38"/>
      <c r="P900" s="18"/>
    </row>
    <row r="901" spans="1:16" s="8" customFormat="1" x14ac:dyDescent="0.25">
      <c r="A901" s="8">
        <v>25180</v>
      </c>
      <c r="B901" s="8" t="s">
        <v>190</v>
      </c>
      <c r="G901" s="21"/>
      <c r="H901" s="21"/>
      <c r="I901" s="9"/>
      <c r="J901" s="5"/>
      <c r="K901" s="5"/>
      <c r="L901" s="5"/>
      <c r="M901" s="9"/>
      <c r="N901" s="9"/>
      <c r="O901" s="38"/>
      <c r="P901" s="18"/>
    </row>
    <row r="902" spans="1:16" s="8" customFormat="1" x14ac:dyDescent="0.25">
      <c r="A902" s="2" t="s">
        <v>222</v>
      </c>
      <c r="B902" s="1">
        <v>56049</v>
      </c>
      <c r="C902" s="1" t="s">
        <v>223</v>
      </c>
      <c r="D902" s="1"/>
      <c r="E902" s="1"/>
      <c r="F902" s="1"/>
      <c r="G902" s="21"/>
      <c r="H902" s="21"/>
      <c r="I902" s="9"/>
      <c r="J902" s="5"/>
      <c r="K902" s="5"/>
      <c r="L902" s="5"/>
      <c r="M902" s="9"/>
      <c r="N902" s="9"/>
      <c r="O902" s="38"/>
      <c r="P902" s="18"/>
    </row>
    <row r="903" spans="1:16" x14ac:dyDescent="0.25">
      <c r="A903" s="1">
        <v>25180</v>
      </c>
      <c r="B903" s="1">
        <v>56050</v>
      </c>
      <c r="C903" s="1" t="s">
        <v>191</v>
      </c>
      <c r="G903" s="5">
        <v>21600</v>
      </c>
      <c r="H903" s="5">
        <v>21600</v>
      </c>
      <c r="I903" s="5">
        <v>21600</v>
      </c>
      <c r="J903" s="5">
        <f>[1]Expense!$J$473</f>
        <v>18000</v>
      </c>
      <c r="K903" s="5">
        <f>[1]Expense!I473</f>
        <v>21600</v>
      </c>
      <c r="L903" s="5">
        <f>[2]Expense!K440</f>
        <v>18000</v>
      </c>
      <c r="M903" s="5">
        <v>18000</v>
      </c>
      <c r="N903" s="5">
        <v>18000</v>
      </c>
      <c r="O903" s="38">
        <f>(G903-K903)/K903</f>
        <v>0</v>
      </c>
      <c r="P903" s="18">
        <f>G903-K903</f>
        <v>0</v>
      </c>
    </row>
    <row r="904" spans="1:16" x14ac:dyDescent="0.25">
      <c r="C904" s="1" t="s">
        <v>640</v>
      </c>
      <c r="D904" s="1">
        <v>12</v>
      </c>
      <c r="E904" s="1">
        <v>1500</v>
      </c>
      <c r="F904" s="1">
        <f>D904*E904</f>
        <v>18000</v>
      </c>
      <c r="G904" s="5"/>
      <c r="H904" s="5"/>
      <c r="J904" s="5"/>
      <c r="O904" s="38"/>
      <c r="P904" s="18"/>
    </row>
    <row r="905" spans="1:16" x14ac:dyDescent="0.25">
      <c r="C905" s="1" t="s">
        <v>641</v>
      </c>
      <c r="D905" s="1">
        <v>12</v>
      </c>
      <c r="E905" s="1">
        <v>300</v>
      </c>
      <c r="F905" s="1">
        <f>D905*E905</f>
        <v>3600</v>
      </c>
      <c r="G905" s="5"/>
      <c r="H905" s="5"/>
      <c r="O905" s="38"/>
      <c r="P905" s="18"/>
    </row>
    <row r="906" spans="1:16" x14ac:dyDescent="0.25">
      <c r="A906" s="1">
        <v>25180</v>
      </c>
      <c r="B906" s="1">
        <v>56051</v>
      </c>
      <c r="C906" s="1" t="s">
        <v>192</v>
      </c>
      <c r="D906" s="1">
        <v>12</v>
      </c>
      <c r="E906" s="1">
        <v>1000</v>
      </c>
      <c r="F906" s="1">
        <v>12000</v>
      </c>
      <c r="G906" s="5">
        <v>12000</v>
      </c>
      <c r="H906" s="5">
        <v>12000</v>
      </c>
      <c r="I906" s="5">
        <v>12000</v>
      </c>
      <c r="J906" s="5">
        <f>[1]Expense!$J$474</f>
        <v>10392.24</v>
      </c>
      <c r="K906" s="5">
        <f>[1]Expense!I474</f>
        <v>12000</v>
      </c>
      <c r="L906" s="5">
        <f>[2]Expense!K441</f>
        <v>9117.9500000000007</v>
      </c>
      <c r="M906" s="5">
        <v>8706.4</v>
      </c>
      <c r="N906" s="5">
        <v>9738.27</v>
      </c>
      <c r="O906" s="38">
        <f>(G906-K906)/K906</f>
        <v>0</v>
      </c>
      <c r="P906" s="18">
        <f>G906-K906</f>
        <v>0</v>
      </c>
    </row>
    <row r="907" spans="1:16" x14ac:dyDescent="0.25">
      <c r="A907" s="1">
        <v>25180</v>
      </c>
      <c r="B907" s="1">
        <v>56052</v>
      </c>
      <c r="C907" s="1" t="s">
        <v>193</v>
      </c>
      <c r="G907" s="5">
        <v>9500</v>
      </c>
      <c r="H907" s="5">
        <v>9500</v>
      </c>
      <c r="I907" s="5">
        <v>9500</v>
      </c>
      <c r="J907" s="5">
        <f>[1]Expense!N475</f>
        <v>9954.2099999999991</v>
      </c>
      <c r="K907" s="5">
        <f>[1]Expense!I475</f>
        <v>9000</v>
      </c>
      <c r="L907" s="5">
        <f>[2]Expense!K442</f>
        <v>8826</v>
      </c>
      <c r="M907" s="5">
        <v>9896.32</v>
      </c>
      <c r="N907" s="5">
        <v>9002.2099999999991</v>
      </c>
      <c r="O907" s="38">
        <f>(G907-K907)/K907</f>
        <v>5.5555555555555552E-2</v>
      </c>
      <c r="P907" s="18">
        <f>G907-K907</f>
        <v>500</v>
      </c>
    </row>
    <row r="908" spans="1:16" x14ac:dyDescent="0.25">
      <c r="C908" s="1" t="s">
        <v>642</v>
      </c>
      <c r="G908" s="5"/>
      <c r="H908" s="5"/>
      <c r="O908" s="38"/>
      <c r="P908" s="18"/>
    </row>
    <row r="909" spans="1:16" x14ac:dyDescent="0.25">
      <c r="A909" s="1">
        <v>25180</v>
      </c>
      <c r="B909" s="1">
        <v>56053</v>
      </c>
      <c r="C909" s="1" t="s">
        <v>194</v>
      </c>
      <c r="G909" s="59">
        <v>20000</v>
      </c>
      <c r="H909" s="5">
        <v>23000</v>
      </c>
      <c r="I909" s="5">
        <v>23000</v>
      </c>
      <c r="J909" s="5">
        <f>[1]Expense!N476</f>
        <v>17400</v>
      </c>
      <c r="K909" s="5">
        <f>[1]Expense!I476</f>
        <v>23000</v>
      </c>
      <c r="L909" s="5">
        <f>[2]Expense!K443</f>
        <v>17400</v>
      </c>
      <c r="M909" s="5">
        <v>17400</v>
      </c>
      <c r="N909" s="5">
        <v>13050</v>
      </c>
      <c r="O909" s="38">
        <f>(G909-K909)/K909</f>
        <v>-0.13043478260869565</v>
      </c>
      <c r="P909" s="18">
        <f>G909-K909</f>
        <v>-3000</v>
      </c>
    </row>
    <row r="910" spans="1:16" x14ac:dyDescent="0.25">
      <c r="C910" s="1" t="s">
        <v>643</v>
      </c>
      <c r="D910" s="1">
        <v>12</v>
      </c>
      <c r="E910" s="1">
        <v>1500</v>
      </c>
      <c r="F910" s="1">
        <v>18000</v>
      </c>
      <c r="G910" s="5"/>
      <c r="H910" s="5"/>
      <c r="J910" s="5"/>
      <c r="O910" s="38"/>
      <c r="P910" s="18"/>
    </row>
    <row r="911" spans="1:16" x14ac:dyDescent="0.25">
      <c r="C911" s="1" t="s">
        <v>644</v>
      </c>
      <c r="F911" s="1">
        <v>5000</v>
      </c>
      <c r="G911" s="5"/>
      <c r="H911" s="5"/>
      <c r="O911" s="38"/>
      <c r="P911" s="18"/>
    </row>
    <row r="912" spans="1:16" x14ac:dyDescent="0.25">
      <c r="A912" s="1">
        <v>25180</v>
      </c>
      <c r="B912" s="1">
        <v>56054</v>
      </c>
      <c r="C912" s="1" t="s">
        <v>195</v>
      </c>
      <c r="G912" s="5">
        <v>175000</v>
      </c>
      <c r="H912" s="5">
        <v>175000</v>
      </c>
      <c r="I912" s="5">
        <v>175000</v>
      </c>
      <c r="J912" s="5">
        <f>[1]Expense!$J$477</f>
        <v>203143.56</v>
      </c>
      <c r="K912" s="5">
        <f>[1]Expense!I477</f>
        <v>150000</v>
      </c>
      <c r="L912" s="5">
        <f>[2]Expense!K444</f>
        <v>116318.49</v>
      </c>
      <c r="M912" s="5">
        <v>90844.05</v>
      </c>
      <c r="N912" s="5">
        <v>190835.46</v>
      </c>
      <c r="O912" s="38">
        <f>(G912-K912)/K912</f>
        <v>0.16666666666666666</v>
      </c>
      <c r="P912" s="18">
        <f>G912-K912</f>
        <v>25000</v>
      </c>
    </row>
    <row r="913" spans="1:16" x14ac:dyDescent="0.25">
      <c r="C913" s="1" t="s">
        <v>645</v>
      </c>
      <c r="G913" s="5"/>
      <c r="H913" s="5"/>
      <c r="O913" s="38"/>
      <c r="P913" s="18"/>
    </row>
    <row r="914" spans="1:16" x14ac:dyDescent="0.25">
      <c r="A914" s="1">
        <v>25180</v>
      </c>
      <c r="B914" s="1">
        <v>56061</v>
      </c>
      <c r="C914" s="1" t="s">
        <v>196</v>
      </c>
      <c r="G914" s="59">
        <v>200000</v>
      </c>
      <c r="H914" s="5">
        <v>190000</v>
      </c>
      <c r="I914" s="5">
        <v>190000</v>
      </c>
      <c r="J914" s="5">
        <f>[1]Expense!N478</f>
        <v>218191.65</v>
      </c>
      <c r="K914" s="5">
        <f>[1]Expense!I478</f>
        <v>300000</v>
      </c>
      <c r="L914" s="5">
        <f>[2]Expense!K445</f>
        <v>337371.89</v>
      </c>
      <c r="M914" s="5">
        <v>573407.06999999995</v>
      </c>
      <c r="N914" s="5">
        <v>663959.93999999994</v>
      </c>
      <c r="O914" s="38">
        <f>(G914-K914)/K914</f>
        <v>-0.33333333333333331</v>
      </c>
      <c r="P914" s="18">
        <f>G914-K914</f>
        <v>-100000</v>
      </c>
    </row>
    <row r="915" spans="1:16" x14ac:dyDescent="0.25">
      <c r="C915" s="1" t="s">
        <v>646</v>
      </c>
      <c r="G915" s="5"/>
      <c r="H915" s="5"/>
      <c r="O915" s="38"/>
      <c r="P915" s="18"/>
    </row>
    <row r="916" spans="1:16" x14ac:dyDescent="0.25">
      <c r="A916" s="1">
        <v>25180</v>
      </c>
      <c r="B916" s="1">
        <v>56130</v>
      </c>
      <c r="C916" s="1" t="s">
        <v>197</v>
      </c>
      <c r="G916" s="5">
        <v>1000</v>
      </c>
      <c r="H916" s="5">
        <v>1000</v>
      </c>
      <c r="I916" s="5">
        <v>1000</v>
      </c>
      <c r="J916" s="5">
        <f>[1]Expense!N479</f>
        <v>0</v>
      </c>
      <c r="K916" s="5">
        <f>[1]Expense!I479</f>
        <v>1000</v>
      </c>
      <c r="L916" s="5">
        <f>[2]Expense!K446</f>
        <v>0</v>
      </c>
      <c r="M916" s="5">
        <v>502.06</v>
      </c>
      <c r="N916" s="5">
        <v>0</v>
      </c>
      <c r="O916" s="38">
        <f>(G916-K916)/K916</f>
        <v>0</v>
      </c>
      <c r="P916" s="18">
        <f>G916-K916</f>
        <v>0</v>
      </c>
    </row>
    <row r="917" spans="1:16" x14ac:dyDescent="0.25">
      <c r="A917" s="1">
        <v>25180</v>
      </c>
      <c r="B917" s="1">
        <v>56131</v>
      </c>
      <c r="C917" s="1" t="s">
        <v>198</v>
      </c>
      <c r="G917" s="59">
        <v>0</v>
      </c>
      <c r="H917" s="5">
        <v>6500</v>
      </c>
      <c r="I917" s="5">
        <v>6500</v>
      </c>
      <c r="K917" s="5">
        <v>6500</v>
      </c>
      <c r="L917" s="5">
        <f>[2]Expense!K447</f>
        <v>0</v>
      </c>
      <c r="M917" s="5">
        <v>85105</v>
      </c>
      <c r="N917" s="5">
        <v>14800</v>
      </c>
      <c r="O917" s="38">
        <f>(G917-K917)/K917</f>
        <v>-1</v>
      </c>
      <c r="P917" s="18">
        <f>G917-K917</f>
        <v>-6500</v>
      </c>
    </row>
    <row r="918" spans="1:16" s="8" customFormat="1" x14ac:dyDescent="0.25">
      <c r="A918" s="8" t="s">
        <v>12</v>
      </c>
      <c r="B918" s="8" t="s">
        <v>199</v>
      </c>
      <c r="G918" s="21">
        <f>SUM(G903:G917)</f>
        <v>439100</v>
      </c>
      <c r="H918" s="21">
        <f>SUM(H903:H917)</f>
        <v>438600</v>
      </c>
      <c r="I918" s="9">
        <f>SUM(I902:I917)</f>
        <v>438600</v>
      </c>
      <c r="J918" s="9">
        <f>SUM(J901:J916)</f>
        <v>477081.66000000003</v>
      </c>
      <c r="K918" s="9">
        <f>SUM(K901:K917)</f>
        <v>523100</v>
      </c>
      <c r="L918" s="9">
        <f>SUM(L903:L917)</f>
        <v>507034.33</v>
      </c>
      <c r="M918" s="9">
        <f>SUM(M903:M917)</f>
        <v>803860.9</v>
      </c>
      <c r="N918" s="9">
        <f>SUM(N903:N917)</f>
        <v>919385.87999999989</v>
      </c>
      <c r="O918" s="39">
        <f>(G918-K918)/K918</f>
        <v>-0.16058115083158095</v>
      </c>
      <c r="P918" s="40">
        <f>G918-K918</f>
        <v>-84000</v>
      </c>
    </row>
    <row r="919" spans="1:16" x14ac:dyDescent="0.25">
      <c r="G919" s="19"/>
      <c r="L919" s="9"/>
      <c r="O919" s="38"/>
      <c r="P919" s="18"/>
    </row>
    <row r="920" spans="1:16" s="8" customFormat="1" x14ac:dyDescent="0.25">
      <c r="A920" s="8">
        <v>25193</v>
      </c>
      <c r="B920" s="8" t="s">
        <v>200</v>
      </c>
      <c r="G920" s="21"/>
      <c r="H920" s="21"/>
      <c r="I920" s="9"/>
      <c r="J920" s="1"/>
      <c r="K920" s="5"/>
      <c r="L920" s="5"/>
      <c r="M920" s="9"/>
      <c r="N920" s="9"/>
      <c r="O920" s="38"/>
      <c r="P920" s="18"/>
    </row>
    <row r="921" spans="1:16" x14ac:dyDescent="0.25">
      <c r="A921" s="1">
        <v>25193</v>
      </c>
      <c r="B921" s="1">
        <v>51100</v>
      </c>
      <c r="C921" s="1" t="s">
        <v>15</v>
      </c>
      <c r="G921" s="5">
        <v>281900</v>
      </c>
      <c r="H921" s="5">
        <v>281900</v>
      </c>
      <c r="I921" s="5">
        <v>281900</v>
      </c>
      <c r="J921" s="5">
        <f>[1]Expense!N484</f>
        <v>244937.34</v>
      </c>
      <c r="K921" s="5">
        <f>[1]Expense!I484</f>
        <v>260100</v>
      </c>
      <c r="L921" s="5">
        <f>[2]Expense!K451</f>
        <v>228206.87</v>
      </c>
      <c r="M921" s="5">
        <f>173829.84+400</f>
        <v>174229.84</v>
      </c>
      <c r="N921" s="5">
        <f>142278.87+1613.12</f>
        <v>143891.99</v>
      </c>
      <c r="O921" s="38">
        <f>(G921-K921)/K921</f>
        <v>8.381391772395233E-2</v>
      </c>
      <c r="P921" s="18">
        <f>G921-K921</f>
        <v>21800</v>
      </c>
    </row>
    <row r="922" spans="1:16" x14ac:dyDescent="0.25">
      <c r="A922" s="1">
        <v>25193</v>
      </c>
      <c r="B922" s="1">
        <v>51400</v>
      </c>
      <c r="C922" s="1" t="s">
        <v>18</v>
      </c>
      <c r="G922" s="5">
        <v>1000</v>
      </c>
      <c r="H922" s="5">
        <v>1000</v>
      </c>
      <c r="I922" s="5">
        <v>1000</v>
      </c>
      <c r="J922" s="5">
        <f>[1]Expense!N485</f>
        <v>863</v>
      </c>
      <c r="K922" s="5">
        <f>[1]Expense!I485</f>
        <v>1000</v>
      </c>
      <c r="L922" s="5">
        <f>[2]Expense!K452</f>
        <v>2402.17</v>
      </c>
      <c r="M922" s="5">
        <v>912.68</v>
      </c>
      <c r="N922" s="5">
        <v>670.47</v>
      </c>
      <c r="O922" s="38">
        <f>(G922-K922)/K922</f>
        <v>0</v>
      </c>
      <c r="P922" s="18">
        <f>G922-K922</f>
        <v>0</v>
      </c>
    </row>
    <row r="923" spans="1:16" x14ac:dyDescent="0.25">
      <c r="A923" s="1">
        <v>25193</v>
      </c>
      <c r="B923" s="1">
        <v>51500</v>
      </c>
      <c r="C923" s="1" t="s">
        <v>61</v>
      </c>
      <c r="G923" s="59">
        <v>12103</v>
      </c>
      <c r="H923" s="5">
        <v>15650</v>
      </c>
      <c r="I923" s="5">
        <v>15650</v>
      </c>
      <c r="J923" s="5">
        <f>[1]Expense!N486</f>
        <v>13721.4</v>
      </c>
      <c r="K923" s="5">
        <f>[1]Expense!I486</f>
        <v>4500</v>
      </c>
      <c r="L923" s="5">
        <f>[2]Expense!K453</f>
        <v>4696.2</v>
      </c>
      <c r="M923" s="5">
        <v>403.87</v>
      </c>
      <c r="N923" s="5">
        <v>952.05</v>
      </c>
      <c r="O923" s="38">
        <f>(G923-K923)/K923</f>
        <v>1.6895555555555555</v>
      </c>
      <c r="P923" s="18">
        <f>G923-K923</f>
        <v>7603</v>
      </c>
    </row>
    <row r="924" spans="1:16" x14ac:dyDescent="0.25">
      <c r="A924" s="1">
        <v>25193</v>
      </c>
      <c r="B924" s="1">
        <v>51510</v>
      </c>
      <c r="C924" s="1" t="s">
        <v>20</v>
      </c>
      <c r="G924" s="5"/>
      <c r="H924" s="5"/>
      <c r="J924" s="5">
        <f>[1]Expense!N487</f>
        <v>0</v>
      </c>
      <c r="K924" s="5">
        <f>[1]Expense!I487</f>
        <v>0</v>
      </c>
      <c r="M924" s="5">
        <v>589.05999999999995</v>
      </c>
      <c r="N924" s="5">
        <v>917.92</v>
      </c>
      <c r="O924" s="38"/>
      <c r="P924" s="18"/>
    </row>
    <row r="925" spans="1:16" x14ac:dyDescent="0.25">
      <c r="A925" s="1">
        <v>25193</v>
      </c>
      <c r="B925" s="1">
        <v>51520</v>
      </c>
      <c r="C925" s="1" t="s">
        <v>21</v>
      </c>
      <c r="G925" s="5">
        <v>1850</v>
      </c>
      <c r="H925" s="5">
        <v>1850</v>
      </c>
      <c r="I925" s="5">
        <v>1850</v>
      </c>
      <c r="J925" s="5">
        <f>[1]Expense!N488</f>
        <v>1300</v>
      </c>
      <c r="K925" s="5">
        <f>[1]Expense!I488</f>
        <v>1300</v>
      </c>
      <c r="L925" s="5">
        <f>[2]Expense!K454</f>
        <v>1280</v>
      </c>
      <c r="M925" s="5">
        <v>1280</v>
      </c>
      <c r="N925" s="5">
        <v>1180</v>
      </c>
      <c r="O925" s="38">
        <f>(G925-K925)/K925</f>
        <v>0.42307692307692307</v>
      </c>
      <c r="P925" s="18">
        <f>G925-K925</f>
        <v>550</v>
      </c>
    </row>
    <row r="926" spans="1:16" x14ac:dyDescent="0.25">
      <c r="A926" s="1">
        <v>25193</v>
      </c>
      <c r="B926" s="1">
        <v>52100</v>
      </c>
      <c r="C926" s="1" t="s">
        <v>22</v>
      </c>
      <c r="G926" s="5">
        <v>95500</v>
      </c>
      <c r="H926" s="5">
        <v>95500</v>
      </c>
      <c r="I926" s="5">
        <v>95500</v>
      </c>
      <c r="J926" s="5">
        <f>[1]Expense!N489</f>
        <v>79345.95</v>
      </c>
      <c r="K926" s="5">
        <f>[1]Expense!I489</f>
        <v>91900</v>
      </c>
      <c r="L926" s="5">
        <f>[2]Expense!K455</f>
        <v>90664.3</v>
      </c>
      <c r="M926" s="5">
        <f>83163.49+188.24</f>
        <v>83351.73000000001</v>
      </c>
      <c r="N926" s="5">
        <f>74570.88+145.99</f>
        <v>74716.87000000001</v>
      </c>
      <c r="O926" s="38">
        <f>(G926-K926)/K926</f>
        <v>3.9173014145810661E-2</v>
      </c>
      <c r="P926" s="18">
        <f>G926-K926</f>
        <v>3600</v>
      </c>
    </row>
    <row r="927" spans="1:16" x14ac:dyDescent="0.25">
      <c r="C927" s="1" t="s">
        <v>598</v>
      </c>
      <c r="F927" s="1">
        <v>93500</v>
      </c>
      <c r="G927" s="5"/>
      <c r="H927" s="5"/>
      <c r="J927" s="5"/>
      <c r="O927" s="38"/>
      <c r="P927" s="18"/>
    </row>
    <row r="928" spans="1:16" x14ac:dyDescent="0.25">
      <c r="C928" s="1" t="s">
        <v>599</v>
      </c>
      <c r="D928" s="1">
        <v>4</v>
      </c>
      <c r="E928" s="1">
        <v>500</v>
      </c>
      <c r="F928" s="1">
        <v>2000</v>
      </c>
      <c r="G928" s="5"/>
      <c r="H928" s="5"/>
      <c r="O928" s="38"/>
      <c r="P928" s="18"/>
    </row>
    <row r="929" spans="1:17" x14ac:dyDescent="0.25">
      <c r="A929" s="1">
        <v>25193</v>
      </c>
      <c r="B929" s="1">
        <v>52140</v>
      </c>
      <c r="C929" s="1" t="s">
        <v>23</v>
      </c>
      <c r="G929" s="59">
        <v>2920</v>
      </c>
      <c r="H929" s="5">
        <v>2337</v>
      </c>
      <c r="I929" s="5">
        <v>2337</v>
      </c>
      <c r="J929" s="5">
        <f>[1]Expense!N490</f>
        <v>326.2</v>
      </c>
      <c r="K929" s="5">
        <f>[1]Expense!I490</f>
        <v>495</v>
      </c>
      <c r="O929" s="38">
        <f t="shared" ref="O929:O934" si="89">(G929-K929)/K929</f>
        <v>4.8989898989898988</v>
      </c>
      <c r="P929" s="18">
        <f t="shared" ref="P929:P934" si="90">G929-K929</f>
        <v>2425</v>
      </c>
    </row>
    <row r="930" spans="1:17" x14ac:dyDescent="0.25">
      <c r="A930" s="1">
        <v>25193</v>
      </c>
      <c r="B930" s="1">
        <v>52200</v>
      </c>
      <c r="C930" s="1" t="s">
        <v>24</v>
      </c>
      <c r="G930" s="5">
        <v>22200</v>
      </c>
      <c r="H930" s="5">
        <v>22200</v>
      </c>
      <c r="I930" s="5">
        <v>22200</v>
      </c>
      <c r="J930" s="1">
        <f>[1]Expense!N491</f>
        <v>18245.54</v>
      </c>
      <c r="K930" s="5">
        <f>[1]Expense!I491</f>
        <v>20450</v>
      </c>
      <c r="L930" s="5">
        <f>[2]Expense!K456</f>
        <v>16405.599999999999</v>
      </c>
      <c r="M930" s="5">
        <f>12679.79+85.73</f>
        <v>12765.52</v>
      </c>
      <c r="N930" s="5">
        <f>10507.82+1484.93</f>
        <v>11992.75</v>
      </c>
      <c r="O930" s="38">
        <f t="shared" si="89"/>
        <v>8.557457212713937E-2</v>
      </c>
      <c r="P930" s="18">
        <f t="shared" si="90"/>
        <v>1750</v>
      </c>
    </row>
    <row r="931" spans="1:17" x14ac:dyDescent="0.25">
      <c r="A931" s="1">
        <v>25193</v>
      </c>
      <c r="B931" s="1">
        <v>52230</v>
      </c>
      <c r="C931" s="1" t="s">
        <v>25</v>
      </c>
      <c r="G931" s="5">
        <v>39130</v>
      </c>
      <c r="H931" s="5">
        <v>39130</v>
      </c>
      <c r="I931" s="5">
        <v>39130</v>
      </c>
      <c r="J931" s="5">
        <f>[1]Expense!N492</f>
        <v>35494.550000000003</v>
      </c>
      <c r="K931" s="5">
        <f>[1]Expense!I492</f>
        <v>36900</v>
      </c>
      <c r="L931" s="5">
        <f>[2]Expense!K457</f>
        <v>32638.68</v>
      </c>
      <c r="M931" s="5">
        <f>22855.46+44.69</f>
        <v>22900.149999999998</v>
      </c>
      <c r="N931" s="5">
        <f>15987.5+145.97</f>
        <v>16133.47</v>
      </c>
      <c r="O931" s="38">
        <f t="shared" si="89"/>
        <v>6.0433604336043362E-2</v>
      </c>
      <c r="P931" s="18">
        <f t="shared" si="90"/>
        <v>2230</v>
      </c>
      <c r="Q931" s="18">
        <f>SUM(P921:P931)</f>
        <v>39958</v>
      </c>
    </row>
    <row r="932" spans="1:17" x14ac:dyDescent="0.25">
      <c r="A932" s="1">
        <v>25193</v>
      </c>
      <c r="B932" s="1">
        <v>52250</v>
      </c>
      <c r="C932" s="1" t="s">
        <v>26</v>
      </c>
      <c r="G932" s="19">
        <v>175</v>
      </c>
      <c r="H932" s="19">
        <v>175</v>
      </c>
      <c r="I932" s="19">
        <v>175</v>
      </c>
      <c r="J932" s="1">
        <f>[1]Expense!N493</f>
        <v>134.28</v>
      </c>
      <c r="K932" s="5">
        <f>[1]Expense!I493</f>
        <v>135</v>
      </c>
      <c r="L932" s="5">
        <f>[2]Expense!K458</f>
        <v>298.12</v>
      </c>
      <c r="M932" s="5">
        <v>232.79</v>
      </c>
      <c r="N932" s="5">
        <v>232.79</v>
      </c>
      <c r="O932" s="38">
        <f t="shared" si="89"/>
        <v>0.29629629629629628</v>
      </c>
      <c r="P932" s="18">
        <f t="shared" si="90"/>
        <v>40</v>
      </c>
    </row>
    <row r="933" spans="1:17" x14ac:dyDescent="0.25">
      <c r="A933" s="1">
        <v>25193</v>
      </c>
      <c r="B933" s="1">
        <v>52260</v>
      </c>
      <c r="C933" s="1" t="s">
        <v>27</v>
      </c>
      <c r="G933" s="19">
        <v>5195</v>
      </c>
      <c r="H933" s="19">
        <v>5195</v>
      </c>
      <c r="I933" s="19">
        <v>5195</v>
      </c>
      <c r="J933" s="1">
        <f>[1]Expense!N494</f>
        <v>3914.03</v>
      </c>
      <c r="K933" s="5">
        <f>[1]Expense!I494</f>
        <v>3915</v>
      </c>
      <c r="L933" s="5">
        <f>[2]Expense!K459</f>
        <v>4046</v>
      </c>
      <c r="M933" s="5">
        <v>6295</v>
      </c>
      <c r="N933" s="5">
        <v>7336</v>
      </c>
      <c r="O933" s="38">
        <f t="shared" si="89"/>
        <v>0.3269476372924649</v>
      </c>
      <c r="P933" s="18">
        <f t="shared" si="90"/>
        <v>1280</v>
      </c>
    </row>
    <row r="934" spans="1:17" x14ac:dyDescent="0.25">
      <c r="A934" s="1">
        <v>25193</v>
      </c>
      <c r="B934" s="1">
        <v>53700</v>
      </c>
      <c r="C934" s="1" t="s">
        <v>201</v>
      </c>
      <c r="G934" s="5">
        <v>6000</v>
      </c>
      <c r="H934" s="5">
        <v>6000</v>
      </c>
      <c r="I934" s="5">
        <v>6000</v>
      </c>
      <c r="J934" s="1">
        <f>[1]Expense!N495</f>
        <v>5547.33</v>
      </c>
      <c r="K934" s="5">
        <f>[1]Expense!I495</f>
        <v>4500</v>
      </c>
      <c r="L934" s="5">
        <f>[2]Expense!K460</f>
        <v>3980</v>
      </c>
      <c r="M934" s="5">
        <v>1365</v>
      </c>
      <c r="N934" s="5">
        <v>1312.2</v>
      </c>
      <c r="O934" s="38">
        <f>(G934-K934)/K934</f>
        <v>0.33333333333333331</v>
      </c>
      <c r="P934" s="18">
        <f t="shared" si="90"/>
        <v>1500</v>
      </c>
    </row>
    <row r="935" spans="1:17" x14ac:dyDescent="0.25">
      <c r="C935" s="1" t="s">
        <v>647</v>
      </c>
      <c r="G935" s="5"/>
      <c r="H935" s="5"/>
      <c r="O935" s="38"/>
      <c r="P935" s="18"/>
    </row>
    <row r="936" spans="1:17" x14ac:dyDescent="0.25">
      <c r="A936" s="1">
        <v>25193</v>
      </c>
      <c r="B936" s="1">
        <v>56100</v>
      </c>
      <c r="C936" s="1" t="s">
        <v>71</v>
      </c>
      <c r="G936" s="5">
        <v>5000</v>
      </c>
      <c r="H936" s="5">
        <v>5000</v>
      </c>
      <c r="I936" s="5">
        <v>5000</v>
      </c>
      <c r="J936" s="4">
        <f>[1]Expense!$J$496</f>
        <v>4744.83</v>
      </c>
      <c r="K936" s="5">
        <v>5000</v>
      </c>
      <c r="L936" s="5">
        <f>[2]Expense!K461</f>
        <v>4731.5</v>
      </c>
      <c r="M936" s="5">
        <v>4530</v>
      </c>
      <c r="N936" s="5">
        <f>3874.25+440.42</f>
        <v>4314.67</v>
      </c>
      <c r="O936" s="38">
        <f>(G936-K936)/K936</f>
        <v>0</v>
      </c>
      <c r="P936" s="18">
        <f>G936-K936</f>
        <v>0</v>
      </c>
    </row>
    <row r="937" spans="1:17" x14ac:dyDescent="0.25">
      <c r="C937" s="1" t="s">
        <v>648</v>
      </c>
      <c r="G937" s="5"/>
      <c r="H937" s="5"/>
      <c r="O937" s="38"/>
      <c r="P937" s="18"/>
    </row>
    <row r="938" spans="1:17" s="8" customFormat="1" x14ac:dyDescent="0.25">
      <c r="A938" s="8" t="s">
        <v>12</v>
      </c>
      <c r="B938" s="8" t="s">
        <v>202</v>
      </c>
      <c r="G938" s="21">
        <f t="shared" ref="G938" si="91">SUM(G921:G936)</f>
        <v>472973</v>
      </c>
      <c r="H938" s="21">
        <f t="shared" ref="H938:N938" si="92">SUM(H921:H936)</f>
        <v>475937</v>
      </c>
      <c r="I938" s="9">
        <f t="shared" si="92"/>
        <v>475937</v>
      </c>
      <c r="J938" s="9">
        <f>SUM(J921:J937)</f>
        <v>408574.45000000007</v>
      </c>
      <c r="K938" s="9">
        <f>SUM(K921:K937)</f>
        <v>430195</v>
      </c>
      <c r="L938" s="9">
        <f t="shared" si="92"/>
        <v>389349.44</v>
      </c>
      <c r="M938" s="9">
        <f t="shared" si="92"/>
        <v>308855.64</v>
      </c>
      <c r="N938" s="9">
        <f t="shared" si="92"/>
        <v>263651.18</v>
      </c>
      <c r="O938" s="39">
        <f>(G938-K938)/K938</f>
        <v>9.9438626669301131E-2</v>
      </c>
      <c r="P938" s="40">
        <f>G938-K938</f>
        <v>42778</v>
      </c>
    </row>
    <row r="939" spans="1:17" x14ac:dyDescent="0.25">
      <c r="G939" s="19"/>
      <c r="L939" s="9"/>
      <c r="O939" s="38"/>
      <c r="P939" s="18"/>
    </row>
    <row r="940" spans="1:17" s="8" customFormat="1" x14ac:dyDescent="0.25">
      <c r="A940" s="8">
        <v>25194</v>
      </c>
      <c r="B940" s="8" t="s">
        <v>203</v>
      </c>
      <c r="G940" s="21"/>
      <c r="H940" s="21"/>
      <c r="I940" s="9"/>
      <c r="J940" s="1"/>
      <c r="K940" s="5"/>
      <c r="L940" s="5"/>
      <c r="M940" s="9"/>
      <c r="N940" s="9"/>
      <c r="O940" s="38"/>
      <c r="P940" s="18"/>
    </row>
    <row r="941" spans="1:17" x14ac:dyDescent="0.25">
      <c r="A941" s="1">
        <v>25194</v>
      </c>
      <c r="B941" s="1">
        <v>51200</v>
      </c>
      <c r="C941" s="1" t="s">
        <v>16</v>
      </c>
      <c r="G941" s="5">
        <v>28800</v>
      </c>
      <c r="H941" s="5">
        <v>28800</v>
      </c>
      <c r="I941" s="5">
        <v>28800</v>
      </c>
      <c r="J941" s="1">
        <f>[1]Expense!N500</f>
        <v>21149</v>
      </c>
      <c r="K941" s="5">
        <f>[1]Expense!I500</f>
        <v>27300</v>
      </c>
      <c r="L941" s="5">
        <f>[2]Expense!K465</f>
        <v>5443.83</v>
      </c>
      <c r="M941" s="5">
        <v>12457.92</v>
      </c>
      <c r="N941" s="5">
        <v>9656.6200000000008</v>
      </c>
      <c r="O941" s="38">
        <f t="shared" ref="O941:O947" si="93">(G941-K941)/K941</f>
        <v>5.4945054945054944E-2</v>
      </c>
      <c r="P941" s="18">
        <f t="shared" ref="P941:P947" si="94">G941-K941</f>
        <v>1500</v>
      </c>
    </row>
    <row r="942" spans="1:17" x14ac:dyDescent="0.25">
      <c r="A942" s="1">
        <v>25194</v>
      </c>
      <c r="B942" s="1">
        <v>52200</v>
      </c>
      <c r="C942" s="1" t="s">
        <v>24</v>
      </c>
      <c r="G942" s="5">
        <v>2200</v>
      </c>
      <c r="H942" s="5">
        <v>2200</v>
      </c>
      <c r="I942" s="5">
        <v>2200</v>
      </c>
      <c r="J942" s="1">
        <f>[1]Expense!N501</f>
        <v>1618</v>
      </c>
      <c r="K942" s="5">
        <f>[1]Expense!I501</f>
        <v>2100</v>
      </c>
      <c r="L942" s="5">
        <f>[2]Expense!K466</f>
        <v>416.45</v>
      </c>
      <c r="M942" s="5">
        <v>953</v>
      </c>
      <c r="N942" s="5">
        <f>738.74+34.44</f>
        <v>773.18000000000006</v>
      </c>
      <c r="O942" s="38">
        <f t="shared" si="93"/>
        <v>4.7619047619047616E-2</v>
      </c>
      <c r="P942" s="18">
        <f t="shared" si="94"/>
        <v>100</v>
      </c>
    </row>
    <row r="943" spans="1:17" x14ac:dyDescent="0.25">
      <c r="A943" s="1">
        <v>25194</v>
      </c>
      <c r="B943" s="1">
        <v>52250</v>
      </c>
      <c r="C943" s="1" t="s">
        <v>26</v>
      </c>
      <c r="G943" s="19">
        <v>12</v>
      </c>
      <c r="H943" s="19">
        <v>12</v>
      </c>
      <c r="I943" s="19">
        <v>12</v>
      </c>
      <c r="J943" s="1">
        <f>[1]Expense!N502</f>
        <v>81</v>
      </c>
      <c r="K943" s="5">
        <f>[1]Expense!I502</f>
        <v>81</v>
      </c>
      <c r="L943" s="5">
        <f>[2]Expense!K467</f>
        <v>88.46</v>
      </c>
      <c r="M943" s="5">
        <v>33.25</v>
      </c>
      <c r="N943" s="5">
        <v>33.25</v>
      </c>
      <c r="O943" s="38">
        <f>(G943-K943)/K943</f>
        <v>-0.85185185185185186</v>
      </c>
      <c r="P943" s="18">
        <f t="shared" si="94"/>
        <v>-69</v>
      </c>
    </row>
    <row r="944" spans="1:17" x14ac:dyDescent="0.25">
      <c r="A944" s="1">
        <v>25194</v>
      </c>
      <c r="B944" s="1">
        <v>52260</v>
      </c>
      <c r="C944" s="1" t="s">
        <v>27</v>
      </c>
      <c r="G944" s="19">
        <v>119</v>
      </c>
      <c r="H944" s="19">
        <v>119</v>
      </c>
      <c r="I944" s="19">
        <v>119</v>
      </c>
      <c r="J944" s="1">
        <f>[1]Expense!N503</f>
        <v>270</v>
      </c>
      <c r="K944" s="5">
        <f>[1]Expense!I503</f>
        <v>270</v>
      </c>
      <c r="L944" s="5">
        <f>[2]Expense!K468</f>
        <v>273</v>
      </c>
      <c r="M944" s="5">
        <v>902</v>
      </c>
      <c r="N944" s="5">
        <v>1048</v>
      </c>
      <c r="O944" s="38">
        <f t="shared" si="93"/>
        <v>-0.55925925925925923</v>
      </c>
      <c r="P944" s="18">
        <f t="shared" si="94"/>
        <v>-151</v>
      </c>
      <c r="Q944" s="18">
        <f>SUM(P941:P944)</f>
        <v>1380</v>
      </c>
    </row>
    <row r="945" spans="1:17" x14ac:dyDescent="0.25">
      <c r="A945" s="1">
        <v>25194</v>
      </c>
      <c r="B945" s="1">
        <v>56100</v>
      </c>
      <c r="C945" s="1" t="s">
        <v>71</v>
      </c>
      <c r="G945" s="59">
        <v>1000</v>
      </c>
      <c r="H945" s="5">
        <v>1500</v>
      </c>
      <c r="I945" s="5">
        <v>1500</v>
      </c>
      <c r="J945" s="4">
        <f>[1]Expense!$J$504</f>
        <v>916.44</v>
      </c>
      <c r="K945" s="5">
        <v>1500</v>
      </c>
      <c r="L945" s="5">
        <f>[2]Expense!K469</f>
        <v>287.56</v>
      </c>
      <c r="M945" s="5">
        <v>1160.8499999999999</v>
      </c>
      <c r="N945" s="5">
        <f>535.03+592.77</f>
        <v>1127.8</v>
      </c>
      <c r="O945" s="38">
        <f t="shared" si="93"/>
        <v>-0.33333333333333331</v>
      </c>
      <c r="P945" s="18">
        <f t="shared" si="94"/>
        <v>-500</v>
      </c>
    </row>
    <row r="946" spans="1:17" s="8" customFormat="1" x14ac:dyDescent="0.25">
      <c r="A946" s="8" t="s">
        <v>12</v>
      </c>
      <c r="B946" s="8" t="s">
        <v>204</v>
      </c>
      <c r="G946" s="21">
        <f t="shared" ref="G946:N946" si="95">SUM(G941:G945)</f>
        <v>32131</v>
      </c>
      <c r="H946" s="21">
        <f t="shared" si="95"/>
        <v>32631</v>
      </c>
      <c r="I946" s="9">
        <f t="shared" si="95"/>
        <v>32631</v>
      </c>
      <c r="J946" s="9">
        <f>SUM(J941:J945)</f>
        <v>24034.44</v>
      </c>
      <c r="K946" s="9">
        <f>SUM(K941:K945)</f>
        <v>31251</v>
      </c>
      <c r="L946" s="9">
        <f t="shared" si="95"/>
        <v>6509.3</v>
      </c>
      <c r="M946" s="9">
        <f t="shared" si="95"/>
        <v>15507.02</v>
      </c>
      <c r="N946" s="9">
        <f t="shared" si="95"/>
        <v>12638.85</v>
      </c>
      <c r="O946" s="39">
        <f t="shared" si="93"/>
        <v>2.8159098908834918E-2</v>
      </c>
      <c r="P946" s="40">
        <f t="shared" si="94"/>
        <v>880</v>
      </c>
    </row>
    <row r="947" spans="1:17" s="8" customFormat="1" x14ac:dyDescent="0.25">
      <c r="A947" s="8" t="s">
        <v>12</v>
      </c>
      <c r="B947" s="8" t="s">
        <v>205</v>
      </c>
      <c r="G947" s="21">
        <f t="shared" ref="G947:N947" si="96">G946+G938+G918+G899+G880+G859+G830+G823+G804+G733+G637</f>
        <v>14121876</v>
      </c>
      <c r="H947" s="21">
        <f t="shared" si="96"/>
        <v>14303273</v>
      </c>
      <c r="I947" s="9">
        <f t="shared" si="96"/>
        <v>14305873</v>
      </c>
      <c r="J947" s="9">
        <f>J946+J938+J918+J899+J880+J859+J830+J823+J804+J733+J637</f>
        <v>12526291.42</v>
      </c>
      <c r="K947" s="9">
        <f>K946+K938+K918+K899+K880+K859+K830+K823+K804+K733+K637</f>
        <v>12795420.800000001</v>
      </c>
      <c r="L947" s="9">
        <f t="shared" si="96"/>
        <v>10924530.67</v>
      </c>
      <c r="M947" s="9">
        <f t="shared" si="96"/>
        <v>10343552.109999999</v>
      </c>
      <c r="N947" s="9">
        <f t="shared" si="96"/>
        <v>11235188.309999999</v>
      </c>
      <c r="O947" s="39">
        <f>(G947-K947)/K947</f>
        <v>0.10366639915429739</v>
      </c>
      <c r="P947" s="40">
        <f t="shared" si="94"/>
        <v>1326455.1999999993</v>
      </c>
    </row>
    <row r="948" spans="1:17" s="8" customFormat="1" x14ac:dyDescent="0.25">
      <c r="H948" s="21"/>
      <c r="I948" s="9"/>
      <c r="J948" s="1"/>
      <c r="K948" s="9"/>
      <c r="L948" s="9"/>
      <c r="M948" s="9"/>
      <c r="N948" s="9"/>
      <c r="O948" s="39"/>
      <c r="P948" s="40"/>
    </row>
    <row r="949" spans="1:17" s="8" customFormat="1" x14ac:dyDescent="0.25">
      <c r="A949" s="8" t="s">
        <v>12</v>
      </c>
      <c r="B949" s="8" t="s">
        <v>206</v>
      </c>
      <c r="G949" s="21">
        <f t="shared" ref="G949:N949" si="97">G947+G627</f>
        <v>36246814</v>
      </c>
      <c r="H949" s="21">
        <f t="shared" si="97"/>
        <v>36771784</v>
      </c>
      <c r="I949" s="9">
        <f t="shared" si="97"/>
        <v>36866605</v>
      </c>
      <c r="J949" s="9">
        <f>J947+J627</f>
        <v>32607695.210000001</v>
      </c>
      <c r="K949" s="9">
        <f>K947+K627</f>
        <v>33836359.969999999</v>
      </c>
      <c r="L949" s="9">
        <f t="shared" si="97"/>
        <v>29402637.990000002</v>
      </c>
      <c r="M949" s="9">
        <f t="shared" si="97"/>
        <v>28424707.690000001</v>
      </c>
      <c r="N949" s="9">
        <f t="shared" si="97"/>
        <v>32279574.309999999</v>
      </c>
      <c r="O949" s="51">
        <f>(G949-K949)/K949</f>
        <v>7.1238573893207147E-2</v>
      </c>
      <c r="P949" s="40">
        <f>G949-K949</f>
        <v>2410454.0300000012</v>
      </c>
      <c r="Q949" s="9">
        <f>SUM(Q7:Q946)</f>
        <v>955440.02999999991</v>
      </c>
    </row>
    <row r="950" spans="1:17" x14ac:dyDescent="0.25">
      <c r="L950" s="6">
        <v>27422</v>
      </c>
    </row>
    <row r="951" spans="1:17" x14ac:dyDescent="0.25">
      <c r="A951" s="8"/>
      <c r="C951" s="1" t="s">
        <v>699</v>
      </c>
      <c r="G951" s="19">
        <f>H949-G949</f>
        <v>524970</v>
      </c>
      <c r="L951" s="9">
        <f>+L950+L949</f>
        <v>29430059.990000002</v>
      </c>
    </row>
    <row r="952" spans="1:17" x14ac:dyDescent="0.25">
      <c r="A952" s="8"/>
      <c r="J952" s="45">
        <v>32607729</v>
      </c>
      <c r="K952" s="5">
        <v>33836359</v>
      </c>
      <c r="L952" s="9"/>
    </row>
    <row r="953" spans="1:17" hidden="1" x14ac:dyDescent="0.25">
      <c r="C953" s="1" t="s">
        <v>703</v>
      </c>
      <c r="F953" s="19">
        <f>P949</f>
        <v>2410454.0300000012</v>
      </c>
    </row>
    <row r="954" spans="1:17" hidden="1" x14ac:dyDescent="0.25">
      <c r="C954" s="43" t="s">
        <v>702</v>
      </c>
      <c r="G954" s="19">
        <f>Q949</f>
        <v>955440.02999999991</v>
      </c>
      <c r="L954" s="9"/>
    </row>
    <row r="955" spans="1:17" hidden="1" x14ac:dyDescent="0.25">
      <c r="C955" s="43" t="s">
        <v>704</v>
      </c>
      <c r="G955" s="19">
        <v>24460</v>
      </c>
      <c r="L955" s="9"/>
    </row>
    <row r="956" spans="1:17" hidden="1" x14ac:dyDescent="0.25">
      <c r="C956" s="43" t="s">
        <v>232</v>
      </c>
      <c r="G956" s="19">
        <v>74800</v>
      </c>
      <c r="L956" s="9"/>
    </row>
    <row r="957" spans="1:17" hidden="1" x14ac:dyDescent="0.25">
      <c r="C957" s="43" t="s">
        <v>706</v>
      </c>
      <c r="G957" s="19">
        <v>100000</v>
      </c>
      <c r="L957" s="9"/>
    </row>
    <row r="958" spans="1:17" hidden="1" x14ac:dyDescent="0.25">
      <c r="C958" s="43" t="s">
        <v>708</v>
      </c>
      <c r="G958" s="5">
        <v>309500</v>
      </c>
      <c r="L958" s="9"/>
    </row>
    <row r="959" spans="1:17" hidden="1" x14ac:dyDescent="0.25">
      <c r="C959" s="43" t="s">
        <v>709</v>
      </c>
      <c r="G959" s="19">
        <v>60000</v>
      </c>
      <c r="L959" s="9"/>
    </row>
    <row r="960" spans="1:17" hidden="1" x14ac:dyDescent="0.25">
      <c r="C960" s="43" t="s">
        <v>705</v>
      </c>
      <c r="G960" s="19">
        <v>346400</v>
      </c>
      <c r="L960" s="9"/>
    </row>
    <row r="961" spans="1:14" hidden="1" x14ac:dyDescent="0.25">
      <c r="C961" s="43" t="s">
        <v>707</v>
      </c>
      <c r="G961" s="19">
        <v>436500</v>
      </c>
      <c r="L961" s="9"/>
    </row>
    <row r="962" spans="1:14" hidden="1" x14ac:dyDescent="0.25">
      <c r="C962" s="43" t="s">
        <v>710</v>
      </c>
      <c r="G962" s="10">
        <v>40000</v>
      </c>
      <c r="L962" s="9"/>
    </row>
    <row r="963" spans="1:14" hidden="1" x14ac:dyDescent="0.25">
      <c r="C963" s="43" t="s">
        <v>712</v>
      </c>
      <c r="G963" s="6">
        <v>10000</v>
      </c>
      <c r="L963" s="9"/>
    </row>
    <row r="964" spans="1:14" hidden="1" x14ac:dyDescent="0.25">
      <c r="C964" s="43"/>
      <c r="G964" s="19">
        <f>SUM(G954:G963)</f>
        <v>2357100.0299999998</v>
      </c>
      <c r="L964" s="9"/>
    </row>
    <row r="965" spans="1:14" hidden="1" x14ac:dyDescent="0.25">
      <c r="L965" s="9"/>
    </row>
    <row r="966" spans="1:14" hidden="1" x14ac:dyDescent="0.25">
      <c r="A966" s="8"/>
      <c r="C966" s="1" t="s">
        <v>711</v>
      </c>
      <c r="G966" s="21"/>
      <c r="H966" s="21"/>
      <c r="I966" s="9"/>
      <c r="L966" s="9"/>
    </row>
    <row r="967" spans="1:14" hidden="1" x14ac:dyDescent="0.25">
      <c r="K967" s="9"/>
      <c r="L967" s="9"/>
    </row>
    <row r="968" spans="1:14" hidden="1" x14ac:dyDescent="0.25">
      <c r="C968" s="43" t="s">
        <v>713</v>
      </c>
      <c r="G968" s="5"/>
      <c r="H968" s="19" t="s">
        <v>714</v>
      </c>
      <c r="M968" s="9"/>
      <c r="N968" s="9"/>
    </row>
    <row r="969" spans="1:14" x14ac:dyDescent="0.25">
      <c r="J969" s="18">
        <f>J949-J952</f>
        <v>-33.78999999910593</v>
      </c>
    </row>
    <row r="971" spans="1:14" hidden="1" x14ac:dyDescent="0.25">
      <c r="C971" s="1" t="s">
        <v>207</v>
      </c>
    </row>
    <row r="972" spans="1:14" hidden="1" x14ac:dyDescent="0.25">
      <c r="C972" s="43" t="s">
        <v>208</v>
      </c>
      <c r="D972" s="43"/>
      <c r="E972" s="43"/>
      <c r="F972" s="43"/>
      <c r="G972" s="19">
        <f>G947</f>
        <v>14121876</v>
      </c>
      <c r="H972" s="5">
        <f>H947</f>
        <v>14303273</v>
      </c>
      <c r="I972" s="5">
        <f>I947</f>
        <v>14305873</v>
      </c>
      <c r="K972" s="5">
        <f>K947</f>
        <v>12795420.800000001</v>
      </c>
      <c r="L972" s="5">
        <f>L947</f>
        <v>10924530.67</v>
      </c>
      <c r="M972" s="5">
        <f>M947</f>
        <v>10343552.109999999</v>
      </c>
      <c r="N972" s="5">
        <f>N947</f>
        <v>11235188.309999999</v>
      </c>
    </row>
    <row r="973" spans="1:14" hidden="1" x14ac:dyDescent="0.25">
      <c r="C973" s="43" t="s">
        <v>209</v>
      </c>
      <c r="D973" s="43"/>
      <c r="E973" s="43"/>
      <c r="F973" s="43"/>
      <c r="G973" s="20"/>
      <c r="H973" s="6">
        <v>10169120</v>
      </c>
      <c r="I973" s="6">
        <v>10169120</v>
      </c>
      <c r="K973" s="6">
        <v>1.4</v>
      </c>
      <c r="L973" s="6">
        <f>[3]Revenue!I79</f>
        <v>10119633.279999999</v>
      </c>
      <c r="M973" s="6">
        <f>[3]Revenue!K79</f>
        <v>10417838.070000002</v>
      </c>
      <c r="N973" s="6">
        <f>[3]Revenue!L79</f>
        <v>12098267.800000001</v>
      </c>
    </row>
    <row r="974" spans="1:14" hidden="1" x14ac:dyDescent="0.25">
      <c r="C974" s="1" t="s">
        <v>210</v>
      </c>
      <c r="G974" s="19">
        <f>G972-G973</f>
        <v>14121876</v>
      </c>
      <c r="H974" s="19">
        <f>H972-H973</f>
        <v>4134153</v>
      </c>
      <c r="I974" s="5">
        <f>I972-I973</f>
        <v>4136753</v>
      </c>
      <c r="K974" s="5">
        <f>K972-K973</f>
        <v>12795419.4</v>
      </c>
      <c r="L974" s="5">
        <f>L972-L973</f>
        <v>804897.3900000006</v>
      </c>
      <c r="M974" s="5">
        <f>M972-M973</f>
        <v>-74285.960000002757</v>
      </c>
      <c r="N974" s="5">
        <f>N972-N973</f>
        <v>-863079.49000000209</v>
      </c>
    </row>
  </sheetData>
  <autoFilter ref="B1:B974" xr:uid="{88E75A42-5DCF-4E8C-94FE-3EBE79A9BCA6}"/>
  <mergeCells count="2">
    <mergeCell ref="A1:B1"/>
    <mergeCell ref="D2:F2"/>
  </mergeCells>
  <phoneticPr fontId="6" type="noConversion"/>
  <printOptions gridLines="1"/>
  <pageMargins left="0.25" right="0.25" top="0.5" bottom="0.5" header="0.3" footer="0.3"/>
  <pageSetup scale="64" fitToHeight="0" orientation="landscape" r:id="rId1"/>
  <headerFooter>
    <oddHeader>&amp;C2024 Expenditure Budget</oddHeader>
    <oddFooter>&amp;L&amp;D&amp;R&amp;P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C1B84-60AF-455C-A849-20E9A0FD29D5}">
  <sheetPr>
    <pageSetUpPr fitToPage="1"/>
  </sheetPr>
  <dimension ref="A1:L91"/>
  <sheetViews>
    <sheetView zoomScale="130" zoomScaleNormal="130" workbookViewId="0">
      <pane ySplit="2" topLeftCell="A17" activePane="bottomLeft" state="frozen"/>
      <selection pane="bottomLeft" activeCell="E46" sqref="E46"/>
    </sheetView>
  </sheetViews>
  <sheetFormatPr defaultColWidth="9.140625" defaultRowHeight="15.75" x14ac:dyDescent="0.25"/>
  <cols>
    <col min="1" max="3" width="9.28515625" style="1" bestFit="1" customWidth="1"/>
    <col min="4" max="4" width="30.140625" style="1" customWidth="1"/>
    <col min="5" max="6" width="13.28515625" style="1" bestFit="1" customWidth="1"/>
    <col min="7" max="7" width="15.7109375" style="4" hidden="1" customWidth="1"/>
    <col min="8" max="11" width="15.7109375" style="1" bestFit="1" customWidth="1"/>
    <col min="12" max="12" width="10" style="1" bestFit="1" customWidth="1"/>
    <col min="13" max="16384" width="9.140625" style="1"/>
  </cols>
  <sheetData>
    <row r="1" spans="1:12" s="8" customFormat="1" x14ac:dyDescent="0.25">
      <c r="E1" s="12"/>
      <c r="F1" s="12">
        <v>2023</v>
      </c>
      <c r="G1" s="13">
        <v>2023</v>
      </c>
      <c r="H1" s="12">
        <v>2023</v>
      </c>
      <c r="I1" s="12">
        <v>2022</v>
      </c>
      <c r="J1" s="12">
        <v>2021</v>
      </c>
      <c r="K1" s="12">
        <v>2020</v>
      </c>
      <c r="L1" s="16" t="s">
        <v>280</v>
      </c>
    </row>
    <row r="2" spans="1:12" s="8" customFormat="1" x14ac:dyDescent="0.25">
      <c r="E2" s="14">
        <v>2024</v>
      </c>
      <c r="F2" s="14" t="s">
        <v>698</v>
      </c>
      <c r="G2" s="15" t="s">
        <v>5</v>
      </c>
      <c r="H2" s="14" t="s">
        <v>6</v>
      </c>
      <c r="I2" s="14" t="s">
        <v>5</v>
      </c>
      <c r="J2" s="14" t="s">
        <v>5</v>
      </c>
      <c r="K2" s="14" t="s">
        <v>5</v>
      </c>
      <c r="L2" s="17" t="s">
        <v>237</v>
      </c>
    </row>
    <row r="4" spans="1:12" x14ac:dyDescent="0.25">
      <c r="A4" s="1">
        <v>14123</v>
      </c>
      <c r="B4" s="1" t="s">
        <v>14</v>
      </c>
    </row>
    <row r="5" spans="1:12" x14ac:dyDescent="0.25">
      <c r="A5" s="1">
        <v>14123</v>
      </c>
      <c r="B5" s="1">
        <v>33100</v>
      </c>
      <c r="D5" s="1" t="s">
        <v>238</v>
      </c>
      <c r="E5" s="19">
        <v>80000</v>
      </c>
      <c r="F5" s="5">
        <f>[1]Revenue!$L$5</f>
        <v>85847.84</v>
      </c>
      <c r="G5" s="5">
        <v>48678.45</v>
      </c>
      <c r="H5" s="5">
        <v>65000</v>
      </c>
      <c r="I5" s="5">
        <v>85155.4</v>
      </c>
      <c r="J5" s="5">
        <v>85328.51</v>
      </c>
      <c r="K5" s="5">
        <v>81154.31</v>
      </c>
      <c r="L5" s="3"/>
    </row>
    <row r="6" spans="1:12" x14ac:dyDescent="0.25">
      <c r="A6" s="1">
        <v>14123</v>
      </c>
      <c r="B6" s="1">
        <v>35000</v>
      </c>
      <c r="D6" s="1" t="s">
        <v>239</v>
      </c>
      <c r="E6" s="20">
        <v>0</v>
      </c>
      <c r="F6" s="6"/>
      <c r="G6" s="6">
        <v>0</v>
      </c>
      <c r="H6" s="6">
        <v>0</v>
      </c>
      <c r="I6" s="6">
        <v>0</v>
      </c>
      <c r="J6" s="6">
        <v>-447.1</v>
      </c>
      <c r="K6" s="6">
        <v>0</v>
      </c>
      <c r="L6" s="7"/>
    </row>
    <row r="7" spans="1:12" s="8" customFormat="1" x14ac:dyDescent="0.25">
      <c r="A7" s="8" t="s">
        <v>12</v>
      </c>
      <c r="B7" s="8" t="s">
        <v>44</v>
      </c>
      <c r="E7" s="21">
        <f>SUM(E5:E6)</f>
        <v>80000</v>
      </c>
      <c r="F7" s="9">
        <f>SUM(F5:F6)</f>
        <v>85847.84</v>
      </c>
      <c r="G7" s="9">
        <v>48678.45</v>
      </c>
      <c r="H7" s="9">
        <v>65000</v>
      </c>
      <c r="I7" s="9">
        <v>85155.4</v>
      </c>
      <c r="J7" s="9">
        <v>84881.41</v>
      </c>
      <c r="K7" s="9">
        <v>81154.31</v>
      </c>
      <c r="L7" s="3">
        <f>(E7-H7)/H7</f>
        <v>0.23076923076923078</v>
      </c>
    </row>
    <row r="8" spans="1:12" x14ac:dyDescent="0.25">
      <c r="E8" s="19"/>
      <c r="F8" s="5"/>
      <c r="G8" s="5"/>
      <c r="H8" s="5"/>
      <c r="I8" s="5"/>
      <c r="J8" s="5"/>
      <c r="K8" s="5"/>
      <c r="L8" s="3"/>
    </row>
    <row r="9" spans="1:12" x14ac:dyDescent="0.25">
      <c r="A9" s="1">
        <v>14130</v>
      </c>
      <c r="B9" s="1" t="s">
        <v>45</v>
      </c>
      <c r="E9" s="19"/>
      <c r="F9" s="5"/>
      <c r="G9" s="5"/>
      <c r="H9" s="5"/>
      <c r="I9" s="5"/>
      <c r="J9" s="5"/>
      <c r="K9" s="5"/>
      <c r="L9" s="3"/>
    </row>
    <row r="10" spans="1:12" x14ac:dyDescent="0.25">
      <c r="A10" s="1">
        <v>14130</v>
      </c>
      <c r="B10" s="1">
        <v>31110</v>
      </c>
      <c r="D10" s="1" t="s">
        <v>240</v>
      </c>
      <c r="E10" s="19"/>
      <c r="F10" s="5">
        <f>[1]Revenue!$I$10</f>
        <v>20667052</v>
      </c>
      <c r="G10" s="5">
        <v>0</v>
      </c>
      <c r="H10" s="5">
        <v>20667052</v>
      </c>
      <c r="I10" s="5">
        <v>15586247</v>
      </c>
      <c r="J10" s="5">
        <v>13145309</v>
      </c>
      <c r="K10" s="5">
        <v>14770507</v>
      </c>
      <c r="L10" s="3">
        <f>(E10-H10)/H10</f>
        <v>-1</v>
      </c>
    </row>
    <row r="11" spans="1:12" x14ac:dyDescent="0.25">
      <c r="A11" s="1">
        <v>14130</v>
      </c>
      <c r="B11" s="1">
        <v>33720</v>
      </c>
      <c r="D11" s="1" t="s">
        <v>241</v>
      </c>
      <c r="E11" s="59">
        <v>300000</v>
      </c>
      <c r="F11" s="19">
        <f>[1]Revenue!$L$11</f>
        <v>351901.21</v>
      </c>
      <c r="G11" s="19">
        <v>351901.21</v>
      </c>
      <c r="H11" s="19">
        <v>300000</v>
      </c>
      <c r="I11" s="19">
        <v>320284.83</v>
      </c>
      <c r="J11" s="19">
        <v>247404.26</v>
      </c>
      <c r="K11" s="19">
        <v>0</v>
      </c>
      <c r="L11" s="3">
        <f>(E11-H11)/H11</f>
        <v>0</v>
      </c>
    </row>
    <row r="12" spans="1:12" x14ac:dyDescent="0.25">
      <c r="A12" s="1">
        <v>14130</v>
      </c>
      <c r="B12" s="1">
        <v>33913</v>
      </c>
      <c r="D12" s="1" t="s">
        <v>242</v>
      </c>
      <c r="E12" s="19">
        <v>0</v>
      </c>
      <c r="F12" s="5"/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3"/>
    </row>
    <row r="13" spans="1:12" x14ac:dyDescent="0.25">
      <c r="A13" s="1">
        <v>14130</v>
      </c>
      <c r="B13" s="1">
        <v>35000</v>
      </c>
      <c r="D13" s="1" t="s">
        <v>243</v>
      </c>
      <c r="E13" s="19">
        <v>50000</v>
      </c>
      <c r="F13" s="5">
        <f>[1]Revenue!$L$12</f>
        <v>204117.93</v>
      </c>
      <c r="G13" s="5">
        <v>58093.73</v>
      </c>
      <c r="H13" s="5">
        <v>80000</v>
      </c>
      <c r="I13" s="5">
        <v>306627.51</v>
      </c>
      <c r="J13" s="5">
        <v>90786.880000000005</v>
      </c>
      <c r="K13" s="5">
        <f>348418.63+80688</f>
        <v>429106.63</v>
      </c>
      <c r="L13" s="3">
        <f>(E13-H13)/H13</f>
        <v>-0.375</v>
      </c>
    </row>
    <row r="14" spans="1:12" x14ac:dyDescent="0.25">
      <c r="A14" s="1">
        <v>14130</v>
      </c>
      <c r="B14" s="1">
        <v>35030</v>
      </c>
      <c r="D14" s="1" t="s">
        <v>244</v>
      </c>
      <c r="E14" s="19">
        <v>304744</v>
      </c>
      <c r="F14" s="5">
        <f>[1]Revenue!$L$13</f>
        <v>297740.03999999998</v>
      </c>
      <c r="G14" s="5">
        <v>248116.7</v>
      </c>
      <c r="H14" s="5">
        <v>297060</v>
      </c>
      <c r="I14" s="5">
        <v>290919.96000000002</v>
      </c>
      <c r="J14" s="5">
        <v>285219.96000000002</v>
      </c>
      <c r="K14" s="5">
        <v>279638.03999999998</v>
      </c>
      <c r="L14" s="3">
        <f>(E14-H14)/H14</f>
        <v>2.5866828250185148E-2</v>
      </c>
    </row>
    <row r="15" spans="1:12" x14ac:dyDescent="0.25">
      <c r="D15" s="1" t="s">
        <v>659</v>
      </c>
      <c r="E15" s="19"/>
      <c r="F15" s="5"/>
      <c r="G15" s="5"/>
      <c r="H15" s="5"/>
      <c r="I15" s="5"/>
      <c r="J15" s="5"/>
      <c r="K15" s="5"/>
      <c r="L15" s="3"/>
    </row>
    <row r="16" spans="1:12" x14ac:dyDescent="0.25">
      <c r="D16" s="1" t="s">
        <v>658</v>
      </c>
      <c r="E16" s="19"/>
      <c r="F16" s="5"/>
      <c r="G16" s="5"/>
      <c r="H16" s="5"/>
      <c r="I16" s="5"/>
      <c r="J16" s="5"/>
      <c r="K16" s="5"/>
      <c r="L16" s="3"/>
    </row>
    <row r="17" spans="1:12" x14ac:dyDescent="0.25">
      <c r="A17" s="1">
        <v>14130</v>
      </c>
      <c r="B17" s="1">
        <v>35060</v>
      </c>
      <c r="D17" s="1" t="s">
        <v>245</v>
      </c>
      <c r="E17" s="19">
        <v>0</v>
      </c>
      <c r="F17" s="5">
        <f>[1]Revenue!$L$14</f>
        <v>1320</v>
      </c>
      <c r="G17" s="5">
        <v>1320</v>
      </c>
      <c r="H17" s="5">
        <v>50000</v>
      </c>
      <c r="I17" s="5">
        <v>54474.84</v>
      </c>
      <c r="J17" s="5">
        <v>285078.76</v>
      </c>
      <c r="K17" s="5">
        <v>166491.23000000001</v>
      </c>
      <c r="L17" s="3">
        <f>(E17-H17)/H17</f>
        <v>-1</v>
      </c>
    </row>
    <row r="18" spans="1:12" x14ac:dyDescent="0.25">
      <c r="A18" s="1">
        <v>14130</v>
      </c>
      <c r="B18" s="1">
        <v>35100</v>
      </c>
      <c r="D18" s="1" t="s">
        <v>246</v>
      </c>
      <c r="E18" s="20">
        <v>20000</v>
      </c>
      <c r="F18" s="6">
        <f>[1]Revenue!$L$15</f>
        <v>26903.99</v>
      </c>
      <c r="G18" s="6">
        <v>26903.99</v>
      </c>
      <c r="H18" s="6">
        <v>0</v>
      </c>
      <c r="I18" s="6">
        <v>0</v>
      </c>
      <c r="J18" s="6">
        <v>0</v>
      </c>
      <c r="K18" s="6">
        <v>0</v>
      </c>
      <c r="L18" s="3"/>
    </row>
    <row r="19" spans="1:12" s="8" customFormat="1" x14ac:dyDescent="0.25">
      <c r="A19" s="8" t="s">
        <v>12</v>
      </c>
      <c r="B19" s="8" t="s">
        <v>52</v>
      </c>
      <c r="E19" s="21">
        <f t="shared" ref="E19:K19" si="0">SUM(E10:E18)</f>
        <v>674744</v>
      </c>
      <c r="F19" s="9">
        <f t="shared" si="0"/>
        <v>21549035.169999998</v>
      </c>
      <c r="G19" s="9">
        <f t="shared" si="0"/>
        <v>686335.63</v>
      </c>
      <c r="H19" s="9">
        <f t="shared" si="0"/>
        <v>21394112</v>
      </c>
      <c r="I19" s="9">
        <f t="shared" si="0"/>
        <v>16558554.140000001</v>
      </c>
      <c r="J19" s="9">
        <f t="shared" si="0"/>
        <v>14053798.860000001</v>
      </c>
      <c r="K19" s="9">
        <f t="shared" si="0"/>
        <v>15645742.9</v>
      </c>
      <c r="L19" s="3">
        <f>(E19-H19)/H19</f>
        <v>-0.96846122895869668</v>
      </c>
    </row>
    <row r="20" spans="1:12" x14ac:dyDescent="0.25">
      <c r="E20" s="19"/>
      <c r="F20" s="5"/>
      <c r="G20" s="5"/>
      <c r="H20" s="5"/>
      <c r="I20" s="5"/>
      <c r="J20" s="5"/>
      <c r="K20" s="5"/>
      <c r="L20" s="3"/>
    </row>
    <row r="21" spans="1:12" x14ac:dyDescent="0.25">
      <c r="A21" s="1">
        <v>14150</v>
      </c>
      <c r="B21" s="1" t="s">
        <v>60</v>
      </c>
      <c r="E21" s="19"/>
      <c r="F21" s="5"/>
      <c r="G21" s="5"/>
      <c r="H21" s="5"/>
      <c r="I21" s="5"/>
      <c r="J21" s="5"/>
      <c r="K21" s="5"/>
      <c r="L21" s="3"/>
    </row>
    <row r="22" spans="1:12" x14ac:dyDescent="0.25">
      <c r="A22" s="1">
        <v>14150</v>
      </c>
      <c r="B22" s="1">
        <v>35020</v>
      </c>
      <c r="D22" s="1" t="s">
        <v>247</v>
      </c>
      <c r="E22" s="19">
        <v>150000</v>
      </c>
      <c r="F22" s="5">
        <f>[1]Revenue!$L$19</f>
        <v>348745</v>
      </c>
      <c r="G22" s="5">
        <v>266908.71000000002</v>
      </c>
      <c r="H22" s="5">
        <v>15000</v>
      </c>
      <c r="I22" s="5">
        <v>32952.36</v>
      </c>
      <c r="J22" s="5">
        <v>6312.97</v>
      </c>
      <c r="K22" s="5">
        <v>399.11</v>
      </c>
      <c r="L22" s="3">
        <f>(E22-H22)/H22</f>
        <v>9</v>
      </c>
    </row>
    <row r="23" spans="1:12" x14ac:dyDescent="0.25">
      <c r="A23" s="1">
        <v>14150</v>
      </c>
      <c r="B23" s="1">
        <v>35091</v>
      </c>
      <c r="D23" s="1" t="s">
        <v>248</v>
      </c>
      <c r="E23" s="65">
        <v>1750000</v>
      </c>
      <c r="F23" s="5"/>
      <c r="G23" s="5">
        <v>0</v>
      </c>
      <c r="H23" s="5">
        <v>0</v>
      </c>
      <c r="I23" s="5">
        <v>2000000</v>
      </c>
      <c r="J23" s="5">
        <v>3000000</v>
      </c>
      <c r="K23" s="5">
        <v>891080</v>
      </c>
      <c r="L23" s="3"/>
    </row>
    <row r="24" spans="1:12" s="8" customFormat="1" x14ac:dyDescent="0.25">
      <c r="A24" s="8" t="s">
        <v>12</v>
      </c>
      <c r="B24" s="8" t="s">
        <v>64</v>
      </c>
      <c r="E24" s="22">
        <f>SUM(E22:E23)</f>
        <v>1900000</v>
      </c>
      <c r="F24" s="11">
        <f>SUM(F22:F23)</f>
        <v>348745</v>
      </c>
      <c r="G24" s="11">
        <v>266908.71000000002</v>
      </c>
      <c r="H24" s="11">
        <v>15000</v>
      </c>
      <c r="I24" s="11">
        <v>2032952.36</v>
      </c>
      <c r="J24" s="11">
        <v>3006312.97</v>
      </c>
      <c r="K24" s="11">
        <v>891479.11</v>
      </c>
      <c r="L24" s="3"/>
    </row>
    <row r="25" spans="1:12" x14ac:dyDescent="0.25">
      <c r="E25" s="19"/>
      <c r="F25" s="5"/>
      <c r="G25" s="5"/>
      <c r="H25" s="5"/>
      <c r="I25" s="5"/>
      <c r="J25" s="5"/>
      <c r="K25" s="5"/>
      <c r="L25" s="3"/>
    </row>
    <row r="26" spans="1:12" x14ac:dyDescent="0.25">
      <c r="A26" s="1">
        <v>14193</v>
      </c>
      <c r="B26" s="1" t="s">
        <v>65</v>
      </c>
      <c r="E26" s="19"/>
      <c r="F26" s="5"/>
      <c r="G26" s="5"/>
      <c r="H26" s="5"/>
      <c r="I26" s="5"/>
      <c r="J26" s="5"/>
      <c r="K26" s="5"/>
      <c r="L26" s="3"/>
    </row>
    <row r="27" spans="1:12" x14ac:dyDescent="0.25">
      <c r="A27" s="1">
        <v>14193</v>
      </c>
      <c r="B27" s="1">
        <v>34021</v>
      </c>
      <c r="D27" s="1" t="s">
        <v>249</v>
      </c>
      <c r="E27" s="19">
        <v>960000</v>
      </c>
      <c r="F27" s="18">
        <f>[1]Revenue!L24</f>
        <v>964683.59</v>
      </c>
      <c r="G27" s="5">
        <v>723482.65</v>
      </c>
      <c r="H27" s="5">
        <v>1100000</v>
      </c>
      <c r="I27" s="5">
        <v>1159455.3600000001</v>
      </c>
      <c r="J27" s="5">
        <v>1358475.18</v>
      </c>
      <c r="K27" s="5">
        <v>1212644.51</v>
      </c>
      <c r="L27" s="3">
        <f>(E27-H27)/H27</f>
        <v>-0.12727272727272726</v>
      </c>
    </row>
    <row r="28" spans="1:12" x14ac:dyDescent="0.25">
      <c r="A28" s="1">
        <v>14193</v>
      </c>
      <c r="B28" s="1">
        <v>34022</v>
      </c>
      <c r="D28" s="1" t="s">
        <v>250</v>
      </c>
      <c r="E28" s="19">
        <v>22716</v>
      </c>
      <c r="F28" s="18">
        <f>[1]Revenue!L25</f>
        <v>22716</v>
      </c>
      <c r="G28" s="5">
        <v>16682</v>
      </c>
      <c r="H28" s="5">
        <v>22716</v>
      </c>
      <c r="I28" s="5">
        <v>34025</v>
      </c>
      <c r="J28" s="5">
        <v>28600</v>
      </c>
      <c r="K28" s="5">
        <v>28600</v>
      </c>
      <c r="L28" s="3">
        <f>(E28-H28)/H28</f>
        <v>0</v>
      </c>
    </row>
    <row r="29" spans="1:12" x14ac:dyDescent="0.25">
      <c r="A29" s="1">
        <v>14193</v>
      </c>
      <c r="B29" s="1">
        <v>34023</v>
      </c>
      <c r="D29" s="1" t="s">
        <v>251</v>
      </c>
      <c r="E29" s="19">
        <v>7600</v>
      </c>
      <c r="F29" s="18">
        <f>[1]Revenue!L26</f>
        <v>7905</v>
      </c>
      <c r="G29" s="5">
        <v>5834</v>
      </c>
      <c r="H29" s="5">
        <v>10000</v>
      </c>
      <c r="I29" s="5">
        <v>10139</v>
      </c>
      <c r="J29" s="5">
        <v>14511</v>
      </c>
      <c r="K29" s="5">
        <v>13152</v>
      </c>
      <c r="L29" s="3">
        <f>(E29-H29)/H29</f>
        <v>-0.24</v>
      </c>
    </row>
    <row r="30" spans="1:12" x14ac:dyDescent="0.25">
      <c r="A30" s="1">
        <v>14193</v>
      </c>
      <c r="B30" s="1">
        <v>35090</v>
      </c>
      <c r="D30" s="1" t="s">
        <v>252</v>
      </c>
      <c r="E30" s="20">
        <v>1400</v>
      </c>
      <c r="F30" s="18">
        <f>[1]Revenue!L27</f>
        <v>1534.53</v>
      </c>
      <c r="G30" s="6">
        <v>1122.02</v>
      </c>
      <c r="H30" s="6">
        <v>350</v>
      </c>
      <c r="I30" s="6">
        <v>396.31</v>
      </c>
      <c r="J30" s="6">
        <v>430.4</v>
      </c>
      <c r="K30" s="6">
        <v>402.77</v>
      </c>
      <c r="L30" s="3">
        <f>(E30-H30)/H30</f>
        <v>3</v>
      </c>
    </row>
    <row r="31" spans="1:12" s="8" customFormat="1" x14ac:dyDescent="0.25">
      <c r="A31" s="8" t="s">
        <v>12</v>
      </c>
      <c r="B31" s="8" t="s">
        <v>72</v>
      </c>
      <c r="E31" s="21">
        <f>SUM(E27:E30)</f>
        <v>991716</v>
      </c>
      <c r="F31" s="9">
        <f>SUM(F27:F30)</f>
        <v>996839.12</v>
      </c>
      <c r="G31" s="9">
        <v>747120.67</v>
      </c>
      <c r="H31" s="9">
        <v>1133066</v>
      </c>
      <c r="I31" s="9">
        <v>1204015.67</v>
      </c>
      <c r="J31" s="9">
        <v>1402016.58</v>
      </c>
      <c r="K31" s="9">
        <v>1254799.28</v>
      </c>
      <c r="L31" s="3">
        <f>(E31-H31)/H31</f>
        <v>-0.12475001456225851</v>
      </c>
    </row>
    <row r="32" spans="1:12" x14ac:dyDescent="0.25">
      <c r="E32" s="19"/>
      <c r="F32" s="5"/>
      <c r="G32" s="5"/>
      <c r="H32" s="5"/>
      <c r="I32" s="5"/>
      <c r="J32" s="5"/>
      <c r="K32" s="5"/>
      <c r="L32" s="3"/>
    </row>
    <row r="33" spans="1:12" x14ac:dyDescent="0.25">
      <c r="A33" s="1">
        <v>14211</v>
      </c>
      <c r="B33" s="1" t="s">
        <v>94</v>
      </c>
      <c r="E33" s="19"/>
      <c r="F33" s="5"/>
      <c r="G33" s="5"/>
      <c r="H33" s="5"/>
      <c r="I33" s="5"/>
      <c r="J33" s="5"/>
      <c r="K33" s="5"/>
      <c r="L33" s="3"/>
    </row>
    <row r="34" spans="1:12" x14ac:dyDescent="0.25">
      <c r="A34" s="1">
        <v>14211</v>
      </c>
      <c r="B34" s="1">
        <v>33100</v>
      </c>
      <c r="D34" s="1" t="s">
        <v>238</v>
      </c>
      <c r="E34" s="19">
        <v>8000</v>
      </c>
      <c r="F34" s="5"/>
      <c r="G34" s="5">
        <v>0</v>
      </c>
      <c r="H34" s="5">
        <v>0</v>
      </c>
      <c r="I34" s="5">
        <v>810.44</v>
      </c>
      <c r="J34" s="5">
        <v>1950</v>
      </c>
      <c r="K34" s="5">
        <v>3762.68</v>
      </c>
      <c r="L34" s="3"/>
    </row>
    <row r="35" spans="1:12" x14ac:dyDescent="0.25">
      <c r="D35" s="1" t="s">
        <v>649</v>
      </c>
      <c r="E35" s="19"/>
      <c r="F35" s="5"/>
      <c r="G35" s="5"/>
      <c r="H35" s="5"/>
      <c r="I35" s="5"/>
      <c r="J35" s="5"/>
      <c r="K35" s="5"/>
      <c r="L35" s="3"/>
    </row>
    <row r="36" spans="1:12" x14ac:dyDescent="0.25">
      <c r="A36" s="1">
        <v>14211</v>
      </c>
      <c r="B36" s="1">
        <v>34011</v>
      </c>
      <c r="D36" s="1" t="s">
        <v>253</v>
      </c>
      <c r="E36" s="19">
        <v>80000</v>
      </c>
      <c r="F36" s="5">
        <f>[1]Revenue!$L$32</f>
        <v>88479.24</v>
      </c>
      <c r="G36" s="5">
        <v>63141.14</v>
      </c>
      <c r="H36" s="5">
        <v>75000</v>
      </c>
      <c r="I36" s="5">
        <v>87293.07</v>
      </c>
      <c r="J36" s="5">
        <v>66393.899999999994</v>
      </c>
      <c r="K36" s="5">
        <v>56534.64</v>
      </c>
      <c r="L36" s="3">
        <f>(E36-H36)/H36</f>
        <v>6.6666666666666666E-2</v>
      </c>
    </row>
    <row r="37" spans="1:12" x14ac:dyDescent="0.25">
      <c r="A37" s="1">
        <v>14211</v>
      </c>
      <c r="B37" s="1">
        <v>34012</v>
      </c>
      <c r="D37" s="1" t="s">
        <v>254</v>
      </c>
      <c r="E37" s="65">
        <v>390000</v>
      </c>
      <c r="F37" s="5">
        <f>[1]Revenue!$L$33</f>
        <v>348965.38</v>
      </c>
      <c r="G37" s="5">
        <v>314744.56</v>
      </c>
      <c r="H37" s="5">
        <v>266760</v>
      </c>
      <c r="I37" s="5">
        <v>220106.94</v>
      </c>
      <c r="J37" s="5">
        <v>169214.44</v>
      </c>
      <c r="K37" s="5">
        <v>149028.01</v>
      </c>
      <c r="L37" s="3">
        <f>(E37-H37)/H37</f>
        <v>0.46198830409356723</v>
      </c>
    </row>
    <row r="38" spans="1:12" hidden="1" x14ac:dyDescent="0.25">
      <c r="D38" t="s">
        <v>650</v>
      </c>
      <c r="E38" s="19"/>
      <c r="F38" s="5"/>
      <c r="G38" s="5"/>
      <c r="H38" s="5"/>
      <c r="I38" s="5"/>
      <c r="J38" s="5"/>
      <c r="K38" s="5"/>
      <c r="L38" s="3"/>
    </row>
    <row r="39" spans="1:12" hidden="1" x14ac:dyDescent="0.25">
      <c r="D39" t="s">
        <v>651</v>
      </c>
      <c r="E39" s="19"/>
      <c r="F39" s="5"/>
      <c r="G39" s="5"/>
      <c r="H39" s="5"/>
      <c r="I39" s="5"/>
      <c r="J39" s="5"/>
      <c r="K39" s="5"/>
      <c r="L39" s="3"/>
    </row>
    <row r="40" spans="1:12" hidden="1" x14ac:dyDescent="0.25">
      <c r="D40" t="s">
        <v>652</v>
      </c>
      <c r="E40" s="19"/>
      <c r="F40" s="5"/>
      <c r="G40" s="5"/>
      <c r="H40" s="5"/>
      <c r="I40" s="5"/>
      <c r="J40" s="5"/>
      <c r="K40" s="5"/>
      <c r="L40" s="3"/>
    </row>
    <row r="41" spans="1:12" x14ac:dyDescent="0.25">
      <c r="A41" s="1">
        <v>14211</v>
      </c>
      <c r="B41" s="1">
        <v>34013</v>
      </c>
      <c r="D41" s="1" t="s">
        <v>255</v>
      </c>
      <c r="E41" s="46">
        <v>75000</v>
      </c>
      <c r="F41" s="5">
        <f>[1]Revenue!$L$34</f>
        <v>80035</v>
      </c>
      <c r="G41" s="5">
        <v>51995</v>
      </c>
      <c r="H41" s="5">
        <v>65000</v>
      </c>
      <c r="I41" s="5">
        <v>51130</v>
      </c>
      <c r="J41" s="5">
        <v>68780</v>
      </c>
      <c r="K41" s="5">
        <v>14485</v>
      </c>
      <c r="L41" s="3">
        <f>(E41-H41)/H41</f>
        <v>0.15384615384615385</v>
      </c>
    </row>
    <row r="42" spans="1:12" x14ac:dyDescent="0.25">
      <c r="A42" s="1">
        <v>14211</v>
      </c>
      <c r="B42" s="1">
        <v>34014</v>
      </c>
      <c r="D42" s="1" t="s">
        <v>256</v>
      </c>
      <c r="E42" s="19">
        <v>44000</v>
      </c>
      <c r="F42" s="5">
        <f>[1]Revenue!$L$35</f>
        <v>40000</v>
      </c>
      <c r="G42" s="5">
        <v>40000</v>
      </c>
      <c r="H42" s="5">
        <v>40000</v>
      </c>
      <c r="I42" s="5">
        <v>40000</v>
      </c>
      <c r="J42" s="5">
        <v>40000</v>
      </c>
      <c r="K42" s="5">
        <v>29100</v>
      </c>
      <c r="L42" s="3">
        <f>(E42-H42)/H42</f>
        <v>0.1</v>
      </c>
    </row>
    <row r="43" spans="1:12" x14ac:dyDescent="0.25">
      <c r="D43" s="1" t="s">
        <v>653</v>
      </c>
      <c r="E43" s="19"/>
      <c r="F43" s="5"/>
      <c r="G43" s="5"/>
      <c r="H43" s="5"/>
      <c r="I43" s="5"/>
      <c r="J43" s="5"/>
      <c r="K43" s="5"/>
      <c r="L43" s="3"/>
    </row>
    <row r="44" spans="1:12" x14ac:dyDescent="0.25">
      <c r="A44" s="1">
        <v>14211</v>
      </c>
      <c r="B44" s="1">
        <v>34015</v>
      </c>
      <c r="D44" s="1" t="s">
        <v>257</v>
      </c>
      <c r="E44" s="20">
        <v>0</v>
      </c>
      <c r="F44" s="6"/>
      <c r="G44" s="6">
        <v>0</v>
      </c>
      <c r="H44" s="6">
        <v>0</v>
      </c>
      <c r="I44" s="6">
        <v>0</v>
      </c>
      <c r="J44" s="6">
        <v>12322.96</v>
      </c>
      <c r="K44" s="6">
        <v>12444.04</v>
      </c>
      <c r="L44" s="3"/>
    </row>
    <row r="45" spans="1:12" s="8" customFormat="1" x14ac:dyDescent="0.25">
      <c r="A45" s="8" t="s">
        <v>12</v>
      </c>
      <c r="B45" s="8" t="s">
        <v>115</v>
      </c>
      <c r="E45" s="21">
        <f>SUM(E34:E44)</f>
        <v>597000</v>
      </c>
      <c r="F45" s="9">
        <f>SUM(F34:F44)</f>
        <v>557479.62</v>
      </c>
      <c r="G45" s="9">
        <v>469880.7</v>
      </c>
      <c r="H45" s="9">
        <v>446760</v>
      </c>
      <c r="I45" s="9">
        <v>399340.45</v>
      </c>
      <c r="J45" s="9">
        <v>358661.3</v>
      </c>
      <c r="K45" s="9">
        <v>265354.37</v>
      </c>
      <c r="L45" s="3">
        <f>(E45-H45)/H45</f>
        <v>0.33628793983346761</v>
      </c>
    </row>
    <row r="46" spans="1:12" x14ac:dyDescent="0.25">
      <c r="E46" s="19"/>
      <c r="F46" s="5"/>
      <c r="G46" s="5"/>
      <c r="H46" s="5"/>
      <c r="I46" s="5"/>
      <c r="J46" s="5"/>
      <c r="K46" s="5"/>
      <c r="L46" s="3"/>
    </row>
    <row r="47" spans="1:12" x14ac:dyDescent="0.25">
      <c r="A47" s="1">
        <v>14230</v>
      </c>
      <c r="B47" s="1" t="s">
        <v>116</v>
      </c>
      <c r="E47" s="19"/>
      <c r="F47" s="5"/>
      <c r="G47" s="5"/>
      <c r="H47" s="5"/>
      <c r="I47" s="5"/>
      <c r="J47" s="5"/>
      <c r="K47" s="5"/>
      <c r="L47" s="3"/>
    </row>
    <row r="48" spans="1:12" x14ac:dyDescent="0.25">
      <c r="A48" s="1">
        <v>14230</v>
      </c>
      <c r="B48" s="1">
        <v>33100</v>
      </c>
      <c r="D48" s="1" t="s">
        <v>238</v>
      </c>
      <c r="E48" s="19">
        <v>0</v>
      </c>
      <c r="F48" s="5"/>
      <c r="G48" s="5">
        <v>62.85</v>
      </c>
      <c r="H48" s="5">
        <v>0</v>
      </c>
      <c r="I48" s="5">
        <v>975</v>
      </c>
      <c r="J48" s="5">
        <v>32747.439999999999</v>
      </c>
      <c r="K48" s="5">
        <v>52270</v>
      </c>
      <c r="L48" s="3"/>
    </row>
    <row r="49" spans="1:12" x14ac:dyDescent="0.25">
      <c r="A49" s="1">
        <v>14230</v>
      </c>
      <c r="B49" s="1">
        <v>34032</v>
      </c>
      <c r="D49" s="1" t="s">
        <v>258</v>
      </c>
      <c r="E49" s="54">
        <v>8000</v>
      </c>
      <c r="F49" s="5">
        <f>[1]Revenue!$L$41</f>
        <v>8072.18</v>
      </c>
      <c r="G49" s="5">
        <v>7512.89</v>
      </c>
      <c r="H49" s="5">
        <v>10000</v>
      </c>
      <c r="I49" s="5">
        <v>4321.41</v>
      </c>
      <c r="J49" s="5">
        <v>7108.8</v>
      </c>
      <c r="K49" s="5">
        <v>8879.2000000000007</v>
      </c>
      <c r="L49" s="3">
        <f>(E49-H49)/H49</f>
        <v>-0.2</v>
      </c>
    </row>
    <row r="50" spans="1:12" x14ac:dyDescent="0.25">
      <c r="A50" s="1">
        <v>14230</v>
      </c>
      <c r="B50" s="1">
        <v>34033</v>
      </c>
      <c r="D50" s="1" t="s">
        <v>259</v>
      </c>
      <c r="E50" s="54">
        <v>15000</v>
      </c>
      <c r="F50" s="5">
        <f>[1]Revenue!$L$42</f>
        <v>15220</v>
      </c>
      <c r="G50" s="5">
        <v>12256.21</v>
      </c>
      <c r="H50" s="5">
        <v>12000</v>
      </c>
      <c r="I50" s="5">
        <v>10362.36</v>
      </c>
      <c r="J50" s="5">
        <v>13603.39</v>
      </c>
      <c r="K50" s="5">
        <v>4392.3500000000004</v>
      </c>
      <c r="L50" s="3">
        <f>(E50-H50)/H50</f>
        <v>0.25</v>
      </c>
    </row>
    <row r="51" spans="1:12" x14ac:dyDescent="0.25">
      <c r="D51" s="1" t="s">
        <v>654</v>
      </c>
      <c r="E51" s="19"/>
      <c r="F51" s="5"/>
      <c r="G51" s="5"/>
      <c r="H51" s="5"/>
      <c r="I51" s="5"/>
      <c r="J51" s="5"/>
      <c r="K51" s="5"/>
      <c r="L51" s="3"/>
    </row>
    <row r="52" spans="1:12" x14ac:dyDescent="0.25">
      <c r="A52" s="1">
        <v>14230</v>
      </c>
      <c r="B52" s="1">
        <v>34034</v>
      </c>
      <c r="D52" s="1" t="s">
        <v>260</v>
      </c>
      <c r="E52" s="19">
        <v>0</v>
      </c>
      <c r="F52" s="5">
        <f>[1]Revenue!$L$43</f>
        <v>273</v>
      </c>
      <c r="G52" s="5">
        <v>159.5</v>
      </c>
      <c r="H52" s="5">
        <v>0</v>
      </c>
      <c r="I52" s="5">
        <v>554.79</v>
      </c>
      <c r="J52" s="5">
        <v>603.79999999999995</v>
      </c>
      <c r="K52" s="5">
        <v>1426.68</v>
      </c>
      <c r="L52" s="3"/>
    </row>
    <row r="53" spans="1:12" x14ac:dyDescent="0.25">
      <c r="A53" s="1">
        <v>14230</v>
      </c>
      <c r="B53" s="1">
        <v>34035</v>
      </c>
      <c r="D53" s="1" t="s">
        <v>261</v>
      </c>
      <c r="E53" s="54">
        <v>0</v>
      </c>
      <c r="F53" s="5">
        <f>[1]Revenue!$L$44</f>
        <v>0</v>
      </c>
      <c r="G53" s="5">
        <v>0</v>
      </c>
      <c r="H53" s="5">
        <v>500</v>
      </c>
      <c r="I53" s="5">
        <v>0</v>
      </c>
      <c r="J53" s="5">
        <v>457.29</v>
      </c>
      <c r="K53" s="5">
        <v>0</v>
      </c>
      <c r="L53" s="3">
        <f>(E53-H53)/H53</f>
        <v>-1</v>
      </c>
    </row>
    <row r="54" spans="1:12" x14ac:dyDescent="0.25">
      <c r="A54" s="1">
        <v>13500</v>
      </c>
      <c r="B54" s="1">
        <v>34036</v>
      </c>
      <c r="D54" s="1" t="s">
        <v>262</v>
      </c>
      <c r="E54" s="54">
        <v>13500</v>
      </c>
      <c r="F54" s="5">
        <f>[1]Revenue!$L$45</f>
        <v>13984</v>
      </c>
      <c r="G54" s="5">
        <v>11159.81</v>
      </c>
      <c r="H54" s="5">
        <v>13500</v>
      </c>
      <c r="I54" s="5">
        <v>13657</v>
      </c>
      <c r="J54" s="5">
        <v>7780</v>
      </c>
      <c r="K54" s="5">
        <v>5833.5</v>
      </c>
      <c r="L54" s="3">
        <f>(E54-H54)/H54</f>
        <v>0</v>
      </c>
    </row>
    <row r="55" spans="1:12" x14ac:dyDescent="0.25">
      <c r="D55" s="1" t="s">
        <v>655</v>
      </c>
      <c r="E55" s="19"/>
      <c r="F55" s="5"/>
      <c r="G55" s="5"/>
      <c r="H55" s="5"/>
      <c r="I55" s="5"/>
      <c r="J55" s="5"/>
      <c r="K55" s="5"/>
      <c r="L55" s="3"/>
    </row>
    <row r="56" spans="1:12" x14ac:dyDescent="0.25">
      <c r="A56" s="1">
        <v>14230</v>
      </c>
      <c r="B56" s="1">
        <v>34037</v>
      </c>
      <c r="D56" s="1" t="s">
        <v>263</v>
      </c>
      <c r="E56" s="19">
        <v>14500</v>
      </c>
      <c r="F56" s="5">
        <f>[1]Revenue!$L$46</f>
        <v>13988.48</v>
      </c>
      <c r="G56" s="5">
        <v>11468.82</v>
      </c>
      <c r="H56" s="5">
        <v>12500</v>
      </c>
      <c r="I56" s="5">
        <v>12542.5</v>
      </c>
      <c r="J56" s="5">
        <v>14494.2</v>
      </c>
      <c r="K56" s="5">
        <v>7497.42</v>
      </c>
      <c r="L56" s="3">
        <f>(E56-H56)/H56</f>
        <v>0.16</v>
      </c>
    </row>
    <row r="57" spans="1:12" x14ac:dyDescent="0.25">
      <c r="D57" s="1" t="s">
        <v>656</v>
      </c>
      <c r="E57" s="19"/>
      <c r="F57" s="5"/>
      <c r="G57" s="5"/>
      <c r="H57" s="5"/>
      <c r="I57" s="5"/>
      <c r="J57" s="5"/>
      <c r="K57" s="5"/>
      <c r="L57" s="3"/>
    </row>
    <row r="58" spans="1:12" x14ac:dyDescent="0.25">
      <c r="A58" s="1">
        <v>14230</v>
      </c>
      <c r="B58" s="1">
        <v>35090</v>
      </c>
      <c r="D58" s="1" t="s">
        <v>252</v>
      </c>
      <c r="E58" s="56">
        <v>7000</v>
      </c>
      <c r="F58" s="6">
        <f>[1]Revenue!$L$47</f>
        <v>7200</v>
      </c>
      <c r="G58" s="6">
        <v>6800</v>
      </c>
      <c r="H58" s="6">
        <v>4000</v>
      </c>
      <c r="I58" s="6">
        <v>5000</v>
      </c>
      <c r="J58" s="6">
        <v>1489.15</v>
      </c>
      <c r="K58" s="6">
        <v>2971.78</v>
      </c>
      <c r="L58" s="3">
        <f>(E58-H58)/H58</f>
        <v>0.75</v>
      </c>
    </row>
    <row r="59" spans="1:12" x14ac:dyDescent="0.25">
      <c r="D59" s="1" t="s">
        <v>657</v>
      </c>
      <c r="E59" s="23"/>
      <c r="F59" s="10"/>
      <c r="G59" s="10"/>
      <c r="H59" s="10"/>
      <c r="I59" s="10"/>
      <c r="J59" s="10"/>
      <c r="K59" s="10"/>
      <c r="L59" s="3"/>
    </row>
    <row r="60" spans="1:12" s="8" customFormat="1" x14ac:dyDescent="0.25">
      <c r="A60" s="8" t="s">
        <v>12</v>
      </c>
      <c r="B60" s="8" t="s">
        <v>134</v>
      </c>
      <c r="E60" s="21">
        <f>SUM(E48:E58)</f>
        <v>58000</v>
      </c>
      <c r="F60" s="9">
        <f>SUM(F48:F58)</f>
        <v>58737.66</v>
      </c>
      <c r="G60" s="9">
        <v>49420.08</v>
      </c>
      <c r="H60" s="9">
        <v>52500</v>
      </c>
      <c r="I60" s="9">
        <v>47413.06</v>
      </c>
      <c r="J60" s="9">
        <v>78284.070000000007</v>
      </c>
      <c r="K60" s="9">
        <v>83270.929999999993</v>
      </c>
      <c r="L60" s="3">
        <f>(E60-H60)/H60</f>
        <v>0.10476190476190476</v>
      </c>
    </row>
    <row r="61" spans="1:12" x14ac:dyDescent="0.25">
      <c r="E61" s="19"/>
      <c r="F61" s="5"/>
      <c r="G61" s="5"/>
      <c r="H61" s="5"/>
      <c r="I61" s="5"/>
      <c r="J61" s="5"/>
      <c r="K61" s="5"/>
      <c r="L61" s="3"/>
    </row>
    <row r="62" spans="1:12" x14ac:dyDescent="0.25">
      <c r="A62" s="1">
        <v>14235</v>
      </c>
      <c r="B62" s="1" t="s">
        <v>135</v>
      </c>
      <c r="E62" s="19"/>
      <c r="F62" s="5"/>
      <c r="G62" s="5"/>
      <c r="H62" s="5"/>
      <c r="I62" s="5"/>
      <c r="J62" s="5"/>
      <c r="K62" s="5"/>
      <c r="L62" s="3"/>
    </row>
    <row r="63" spans="1:12" x14ac:dyDescent="0.25">
      <c r="A63" s="1">
        <v>14235</v>
      </c>
      <c r="B63" s="1">
        <v>33100</v>
      </c>
      <c r="D63" s="1" t="s">
        <v>238</v>
      </c>
      <c r="E63" s="19">
        <v>0</v>
      </c>
      <c r="F63" s="5">
        <f>[1]Revenue!L51</f>
        <v>3170</v>
      </c>
      <c r="G63" s="5">
        <v>1725</v>
      </c>
      <c r="H63" s="5">
        <v>0</v>
      </c>
      <c r="I63" s="5">
        <v>2500</v>
      </c>
      <c r="J63" s="5">
        <v>5250</v>
      </c>
      <c r="K63" s="5">
        <v>4000</v>
      </c>
      <c r="L63" s="3"/>
    </row>
    <row r="64" spans="1:12" x14ac:dyDescent="0.25">
      <c r="A64" s="1">
        <v>14235</v>
      </c>
      <c r="B64" s="1">
        <v>34091</v>
      </c>
      <c r="D64" s="1" t="s">
        <v>264</v>
      </c>
      <c r="E64" s="20">
        <v>3000</v>
      </c>
      <c r="F64" s="6">
        <f>[1]Revenue!L52</f>
        <v>3348</v>
      </c>
      <c r="G64" s="6">
        <v>2513</v>
      </c>
      <c r="H64" s="6">
        <v>5000</v>
      </c>
      <c r="I64" s="6">
        <v>3770</v>
      </c>
      <c r="J64" s="6">
        <v>7938</v>
      </c>
      <c r="K64" s="6">
        <v>6179.4</v>
      </c>
      <c r="L64" s="3">
        <f>(E64-H64)/H64</f>
        <v>-0.4</v>
      </c>
    </row>
    <row r="65" spans="1:12" s="8" customFormat="1" x14ac:dyDescent="0.25">
      <c r="A65" s="8" t="s">
        <v>12</v>
      </c>
      <c r="B65" s="8" t="s">
        <v>137</v>
      </c>
      <c r="E65" s="21">
        <f>SUM(E63:E64)</f>
        <v>3000</v>
      </c>
      <c r="F65" s="9">
        <f>SUM(F63:F64)</f>
        <v>6518</v>
      </c>
      <c r="G65" s="9">
        <v>4238</v>
      </c>
      <c r="H65" s="9">
        <v>5000</v>
      </c>
      <c r="I65" s="9">
        <v>6270</v>
      </c>
      <c r="J65" s="9">
        <v>13188</v>
      </c>
      <c r="K65" s="9">
        <v>10179.4</v>
      </c>
      <c r="L65" s="3">
        <f>(E65-H65)/H65</f>
        <v>-0.4</v>
      </c>
    </row>
    <row r="66" spans="1:12" x14ac:dyDescent="0.25">
      <c r="E66" s="19"/>
      <c r="F66" s="5"/>
      <c r="G66" s="5"/>
      <c r="H66" s="5"/>
      <c r="I66" s="5"/>
      <c r="J66" s="5"/>
      <c r="K66" s="5"/>
      <c r="L66" s="3"/>
    </row>
    <row r="67" spans="1:12" x14ac:dyDescent="0.25">
      <c r="A67" s="1">
        <v>14441</v>
      </c>
      <c r="B67" s="1" t="s">
        <v>138</v>
      </c>
      <c r="E67" s="19"/>
      <c r="F67" s="5"/>
      <c r="G67" s="5"/>
      <c r="H67" s="5"/>
      <c r="I67" s="5"/>
      <c r="J67" s="5"/>
      <c r="K67" s="5"/>
      <c r="L67" s="3"/>
    </row>
    <row r="68" spans="1:12" x14ac:dyDescent="0.25">
      <c r="A68" s="1">
        <v>14441</v>
      </c>
      <c r="B68" s="1">
        <v>33520</v>
      </c>
      <c r="D68" s="1" t="s">
        <v>265</v>
      </c>
      <c r="E68" s="19">
        <v>280000</v>
      </c>
      <c r="F68" s="5">
        <f>[1]Revenue!L58</f>
        <v>279223</v>
      </c>
      <c r="G68" s="5">
        <v>279223</v>
      </c>
      <c r="H68" s="5">
        <v>280000</v>
      </c>
      <c r="I68" s="5">
        <v>286858</v>
      </c>
      <c r="J68" s="5">
        <v>298504</v>
      </c>
      <c r="K68" s="5">
        <v>265431</v>
      </c>
      <c r="L68" s="3">
        <f>(E68-H68)/H68</f>
        <v>0</v>
      </c>
    </row>
    <row r="69" spans="1:12" x14ac:dyDescent="0.25">
      <c r="A69" s="1">
        <v>14441</v>
      </c>
      <c r="B69" s="1">
        <v>33730</v>
      </c>
      <c r="D69" s="1" t="s">
        <v>266</v>
      </c>
      <c r="E69" s="20">
        <v>50000</v>
      </c>
      <c r="F69" s="6">
        <f>[1]Revenue!L59</f>
        <v>65870.289999999994</v>
      </c>
      <c r="G69" s="6">
        <v>44127.73</v>
      </c>
      <c r="H69" s="6">
        <v>20000</v>
      </c>
      <c r="I69" s="6">
        <v>58793.26</v>
      </c>
      <c r="J69" s="6">
        <v>160730.12</v>
      </c>
      <c r="K69" s="6">
        <v>80361.45</v>
      </c>
      <c r="L69" s="3">
        <f>(E69-H69)/H69</f>
        <v>1.5</v>
      </c>
    </row>
    <row r="70" spans="1:12" s="8" customFormat="1" x14ac:dyDescent="0.25">
      <c r="A70" s="8" t="s">
        <v>12</v>
      </c>
      <c r="B70" s="8" t="s">
        <v>141</v>
      </c>
      <c r="E70" s="21">
        <f>SUM(E68:E69)</f>
        <v>330000</v>
      </c>
      <c r="F70" s="9">
        <f>SUM(F68:F69)</f>
        <v>345093.29</v>
      </c>
      <c r="G70" s="9">
        <v>323350.73</v>
      </c>
      <c r="H70" s="9">
        <v>300000</v>
      </c>
      <c r="I70" s="9">
        <v>345651.26</v>
      </c>
      <c r="J70" s="9">
        <v>459234.12</v>
      </c>
      <c r="K70" s="9">
        <v>345792.45</v>
      </c>
      <c r="L70" s="3">
        <f>(E70-H70)/H70</f>
        <v>0.1</v>
      </c>
    </row>
    <row r="71" spans="1:12" x14ac:dyDescent="0.25">
      <c r="E71" s="19"/>
      <c r="F71" s="5"/>
      <c r="G71" s="5"/>
      <c r="H71" s="5"/>
      <c r="I71" s="5"/>
      <c r="J71" s="5"/>
      <c r="K71" s="5"/>
      <c r="L71" s="3"/>
    </row>
    <row r="72" spans="1:12" s="8" customFormat="1" x14ac:dyDescent="0.25">
      <c r="A72" s="8" t="s">
        <v>12</v>
      </c>
      <c r="B72" s="8" t="s">
        <v>155</v>
      </c>
      <c r="E72" s="21">
        <f>E70+E65+E60+E45+E31+E24+E19+E7</f>
        <v>4634460</v>
      </c>
      <c r="F72" s="9">
        <f>F70+F65+F60+F45+F31+F24+F19+F7</f>
        <v>23948295.699999999</v>
      </c>
      <c r="G72" s="9">
        <v>2595932.9700000002</v>
      </c>
      <c r="H72" s="9">
        <v>23411438</v>
      </c>
      <c r="I72" s="9">
        <v>20679352.34</v>
      </c>
      <c r="J72" s="9">
        <v>19456377.309999999</v>
      </c>
      <c r="K72" s="9">
        <v>18577772.920000002</v>
      </c>
      <c r="L72" s="3">
        <f t="shared" ref="L72:L88" si="1">(E72-H72)/H72</f>
        <v>-0.80204291594561594</v>
      </c>
    </row>
    <row r="73" spans="1:12" x14ac:dyDescent="0.25">
      <c r="E73" s="19"/>
      <c r="F73" s="5"/>
      <c r="G73" s="5"/>
      <c r="H73" s="5"/>
      <c r="I73" s="5"/>
      <c r="J73" s="5"/>
      <c r="K73" s="5"/>
      <c r="L73" s="3"/>
    </row>
    <row r="74" spans="1:12" x14ac:dyDescent="0.25">
      <c r="A74" s="1">
        <v>25100</v>
      </c>
      <c r="B74" s="1" t="s">
        <v>159</v>
      </c>
      <c r="E74" s="19"/>
      <c r="F74" s="5"/>
      <c r="G74" s="5"/>
      <c r="H74" s="5"/>
      <c r="I74" s="5"/>
      <c r="J74" s="5"/>
      <c r="K74" s="5"/>
      <c r="L74" s="3"/>
    </row>
    <row r="75" spans="1:12" x14ac:dyDescent="0.25">
      <c r="A75" s="1">
        <v>25100</v>
      </c>
      <c r="B75" s="1">
        <v>34040</v>
      </c>
      <c r="D75" s="1" t="s">
        <v>267</v>
      </c>
      <c r="E75" s="19">
        <v>2200000</v>
      </c>
      <c r="F75" s="5">
        <f>[1]Revenue!L65</f>
        <v>2473796.89</v>
      </c>
      <c r="G75" s="5">
        <v>2473796.89</v>
      </c>
      <c r="H75" s="5">
        <v>2200000</v>
      </c>
      <c r="I75" s="5">
        <v>2118784</v>
      </c>
      <c r="J75" s="5">
        <v>1960435</v>
      </c>
      <c r="K75" s="5">
        <v>2299687</v>
      </c>
      <c r="L75" s="3">
        <f t="shared" si="1"/>
        <v>0</v>
      </c>
    </row>
    <row r="76" spans="1:12" x14ac:dyDescent="0.25">
      <c r="A76" s="1">
        <v>25100</v>
      </c>
      <c r="B76" s="1">
        <v>34042</v>
      </c>
      <c r="D76" s="1" t="s">
        <v>268</v>
      </c>
      <c r="E76" s="59">
        <v>800000</v>
      </c>
      <c r="F76" s="5">
        <f>[1]Revenue!L66</f>
        <v>790378.95</v>
      </c>
      <c r="G76" s="5">
        <v>581754.24</v>
      </c>
      <c r="H76" s="5">
        <v>703032</v>
      </c>
      <c r="I76" s="5">
        <v>801768.54</v>
      </c>
      <c r="J76" s="5">
        <v>901564.18</v>
      </c>
      <c r="K76" s="5">
        <v>1019334.35</v>
      </c>
      <c r="L76" s="3">
        <f t="shared" si="1"/>
        <v>0.13792828775930541</v>
      </c>
    </row>
    <row r="77" spans="1:12" x14ac:dyDescent="0.25">
      <c r="A77" s="1">
        <v>25100</v>
      </c>
      <c r="B77" s="1">
        <v>34044</v>
      </c>
      <c r="D77" s="1" t="s">
        <v>269</v>
      </c>
      <c r="E77" s="19">
        <v>4140000</v>
      </c>
      <c r="F77" s="5">
        <f>[1]Revenue!L67</f>
        <v>4105891</v>
      </c>
      <c r="G77" s="5">
        <v>3102658.43</v>
      </c>
      <c r="H77" s="5">
        <v>3886168</v>
      </c>
      <c r="I77" s="5">
        <v>3784558.5</v>
      </c>
      <c r="J77" s="5">
        <v>3215592.1</v>
      </c>
      <c r="K77" s="5">
        <v>3313149.09</v>
      </c>
      <c r="L77" s="3">
        <f t="shared" si="1"/>
        <v>6.5316785069508054E-2</v>
      </c>
    </row>
    <row r="78" spans="1:12" x14ac:dyDescent="0.25">
      <c r="A78" s="1">
        <v>25100</v>
      </c>
      <c r="B78" s="1">
        <v>34046</v>
      </c>
      <c r="D78" s="1" t="s">
        <v>270</v>
      </c>
      <c r="E78" s="19">
        <v>1155000</v>
      </c>
      <c r="F78" s="5">
        <f>[1]Revenue!L68</f>
        <v>988713</v>
      </c>
      <c r="G78" s="5">
        <v>788756.51</v>
      </c>
      <c r="H78" s="5">
        <v>700000</v>
      </c>
      <c r="I78" s="5">
        <v>628368.92000000004</v>
      </c>
      <c r="J78" s="5">
        <v>461939.24</v>
      </c>
      <c r="K78" s="5">
        <v>833883.27</v>
      </c>
      <c r="L78" s="3">
        <f t="shared" si="1"/>
        <v>0.65</v>
      </c>
    </row>
    <row r="79" spans="1:12" x14ac:dyDescent="0.25">
      <c r="A79" s="1">
        <v>25100</v>
      </c>
      <c r="B79" s="1">
        <v>34047</v>
      </c>
      <c r="D79" s="1" t="s">
        <v>271</v>
      </c>
      <c r="E79" s="59">
        <v>200000</v>
      </c>
      <c r="F79" s="5">
        <f>[1]Revenue!L69</f>
        <v>206403.1</v>
      </c>
      <c r="G79" s="5">
        <v>143281.84</v>
      </c>
      <c r="H79" s="5">
        <v>500000</v>
      </c>
      <c r="I79" s="5">
        <v>369857.59</v>
      </c>
      <c r="J79" s="5">
        <v>521306.71</v>
      </c>
      <c r="K79" s="5">
        <v>661322.72</v>
      </c>
      <c r="L79" s="3">
        <f t="shared" si="1"/>
        <v>-0.6</v>
      </c>
    </row>
    <row r="80" spans="1:12" x14ac:dyDescent="0.25">
      <c r="A80" s="1">
        <v>25100</v>
      </c>
      <c r="B80" s="1">
        <v>34048</v>
      </c>
      <c r="D80" s="1" t="s">
        <v>272</v>
      </c>
      <c r="E80" s="19">
        <v>496000</v>
      </c>
      <c r="F80" s="5">
        <f>[1]Revenue!L70</f>
        <v>474903.08</v>
      </c>
      <c r="G80" s="5">
        <v>372087.3</v>
      </c>
      <c r="H80" s="5">
        <v>500000</v>
      </c>
      <c r="I80" s="5">
        <v>380624.73</v>
      </c>
      <c r="J80" s="5">
        <v>709319.72</v>
      </c>
      <c r="K80" s="5">
        <v>1301257.26</v>
      </c>
      <c r="L80" s="3">
        <f t="shared" si="1"/>
        <v>-8.0000000000000002E-3</v>
      </c>
    </row>
    <row r="81" spans="1:12" x14ac:dyDescent="0.25">
      <c r="A81" s="1">
        <v>25100</v>
      </c>
      <c r="B81" s="1">
        <v>34050</v>
      </c>
      <c r="D81" s="1" t="s">
        <v>273</v>
      </c>
      <c r="E81" s="19">
        <v>1000000</v>
      </c>
      <c r="F81" s="5">
        <f>[1]Revenue!L71</f>
        <v>1358004.52</v>
      </c>
      <c r="G81" s="5">
        <v>786561.47</v>
      </c>
      <c r="H81" s="5">
        <v>1698224</v>
      </c>
      <c r="I81" s="5">
        <v>1861883.96</v>
      </c>
      <c r="J81" s="5">
        <v>2179662.35</v>
      </c>
      <c r="K81" s="5">
        <v>1727396.15</v>
      </c>
      <c r="L81" s="3">
        <f t="shared" si="1"/>
        <v>-0.41114953033286539</v>
      </c>
    </row>
    <row r="82" spans="1:12" x14ac:dyDescent="0.25">
      <c r="A82" s="1">
        <v>25100</v>
      </c>
      <c r="B82" s="1">
        <v>34054</v>
      </c>
      <c r="D82" s="1" t="s">
        <v>274</v>
      </c>
      <c r="E82" s="59">
        <v>175000</v>
      </c>
      <c r="F82" s="5">
        <f>[1]Revenue!L72</f>
        <v>176829.51</v>
      </c>
      <c r="G82" s="5">
        <v>103859.89</v>
      </c>
      <c r="H82" s="5">
        <v>100000</v>
      </c>
      <c r="I82" s="5">
        <v>56639.97</v>
      </c>
      <c r="J82" s="5">
        <v>116996.77</v>
      </c>
      <c r="K82" s="5">
        <v>158899.98000000001</v>
      </c>
      <c r="L82" s="3">
        <f t="shared" si="1"/>
        <v>0.75</v>
      </c>
    </row>
    <row r="83" spans="1:12" x14ac:dyDescent="0.25">
      <c r="A83" s="1">
        <v>25100</v>
      </c>
      <c r="B83" s="1">
        <v>34055</v>
      </c>
      <c r="D83" s="1" t="s">
        <v>275</v>
      </c>
      <c r="E83" s="59">
        <v>100000</v>
      </c>
      <c r="F83" s="5">
        <f>[1]Revenue!L73</f>
        <v>101753.79</v>
      </c>
      <c r="G83" s="5">
        <v>37608.81</v>
      </c>
      <c r="H83" s="5">
        <v>110000</v>
      </c>
      <c r="I83" s="5">
        <v>116836.07</v>
      </c>
      <c r="J83" s="5">
        <v>142428.13</v>
      </c>
      <c r="K83" s="5">
        <v>149598.76</v>
      </c>
      <c r="L83" s="3">
        <f t="shared" si="1"/>
        <v>-9.0909090909090912E-2</v>
      </c>
    </row>
    <row r="84" spans="1:12" x14ac:dyDescent="0.25">
      <c r="A84" s="1">
        <v>25100</v>
      </c>
      <c r="B84" s="1">
        <v>34056</v>
      </c>
      <c r="D84" s="1" t="s">
        <v>276</v>
      </c>
      <c r="E84" s="19">
        <v>0</v>
      </c>
      <c r="F84" s="5"/>
      <c r="G84" s="5">
        <v>0</v>
      </c>
      <c r="H84" s="5">
        <v>0</v>
      </c>
      <c r="I84" s="5">
        <v>0</v>
      </c>
      <c r="J84" s="5">
        <v>156400</v>
      </c>
      <c r="K84" s="5">
        <v>0</v>
      </c>
      <c r="L84" s="3"/>
    </row>
    <row r="85" spans="1:12" x14ac:dyDescent="0.25">
      <c r="A85" s="1">
        <v>25100</v>
      </c>
      <c r="B85" s="1">
        <v>34553</v>
      </c>
      <c r="D85" s="1" t="s">
        <v>277</v>
      </c>
      <c r="E85" s="19">
        <v>0</v>
      </c>
      <c r="F85" s="5"/>
      <c r="G85" s="5">
        <v>0</v>
      </c>
      <c r="H85" s="5">
        <v>0</v>
      </c>
      <c r="I85" s="5">
        <v>-45541.69</v>
      </c>
      <c r="J85" s="5">
        <v>-72410.509999999995</v>
      </c>
      <c r="K85" s="5">
        <v>-66785</v>
      </c>
      <c r="L85" s="3"/>
    </row>
    <row r="86" spans="1:12" x14ac:dyDescent="0.25">
      <c r="A86" s="1">
        <v>25100</v>
      </c>
      <c r="B86" s="1">
        <v>35090</v>
      </c>
      <c r="D86" s="1" t="s">
        <v>252</v>
      </c>
      <c r="F86" s="1">
        <v>236</v>
      </c>
      <c r="G86" s="10">
        <v>235.77</v>
      </c>
      <c r="H86" s="10"/>
      <c r="I86" s="10">
        <v>310.67</v>
      </c>
      <c r="J86" s="10">
        <v>124604.38</v>
      </c>
      <c r="K86" s="10">
        <v>692770.72</v>
      </c>
      <c r="L86" s="3"/>
    </row>
    <row r="87" spans="1:12" x14ac:dyDescent="0.25">
      <c r="A87" s="1">
        <v>25130</v>
      </c>
      <c r="B87" s="1">
        <v>34040</v>
      </c>
      <c r="D87" s="1" t="s">
        <v>278</v>
      </c>
      <c r="E87" s="23">
        <v>3120</v>
      </c>
      <c r="F87" s="10">
        <v>569</v>
      </c>
      <c r="G87" s="10">
        <v>213</v>
      </c>
      <c r="H87" s="10"/>
      <c r="I87" s="10">
        <v>0</v>
      </c>
      <c r="J87" s="10">
        <v>0</v>
      </c>
      <c r="K87" s="10">
        <v>7753.5</v>
      </c>
      <c r="L87" s="3"/>
    </row>
    <row r="88" spans="1:12" s="8" customFormat="1" x14ac:dyDescent="0.25">
      <c r="A88" s="8" t="s">
        <v>12</v>
      </c>
      <c r="B88" s="8" t="s">
        <v>205</v>
      </c>
      <c r="E88" s="21">
        <f>SUM(E75:E87)</f>
        <v>10269120</v>
      </c>
      <c r="F88" s="9">
        <f>SUM(F75:F87)</f>
        <v>10677478.839999998</v>
      </c>
      <c r="G88" s="9">
        <f t="shared" ref="G88" si="2">SUM(G75:G87)</f>
        <v>8390814.1499999985</v>
      </c>
      <c r="H88" s="9">
        <f>SUM(H75:H87)</f>
        <v>10397424</v>
      </c>
      <c r="I88" s="9">
        <v>10074091.26</v>
      </c>
      <c r="J88" s="9">
        <v>10417838.07</v>
      </c>
      <c r="K88" s="9">
        <v>12098267.800000001</v>
      </c>
      <c r="L88" s="3">
        <f t="shared" si="1"/>
        <v>-1.2339979594945824E-2</v>
      </c>
    </row>
    <row r="89" spans="1:12" x14ac:dyDescent="0.25">
      <c r="E89" s="19"/>
      <c r="F89" s="5"/>
      <c r="G89" s="5"/>
      <c r="H89" s="5"/>
      <c r="I89" s="5"/>
      <c r="J89" s="5"/>
      <c r="K89" s="5"/>
      <c r="L89" s="3"/>
    </row>
    <row r="90" spans="1:12" s="8" customFormat="1" x14ac:dyDescent="0.25">
      <c r="C90" s="8" t="s">
        <v>279</v>
      </c>
      <c r="E90" s="21">
        <f>E88+E72</f>
        <v>14903580</v>
      </c>
      <c r="F90" s="9">
        <f>F88+F72</f>
        <v>34625774.539999999</v>
      </c>
      <c r="G90" s="9">
        <v>10986747.119999999</v>
      </c>
      <c r="H90" s="9">
        <v>33808862</v>
      </c>
      <c r="I90" s="9">
        <v>30753443.600000001</v>
      </c>
      <c r="J90" s="9">
        <v>29874215.379999999</v>
      </c>
      <c r="K90" s="9">
        <v>30676040.719999999</v>
      </c>
      <c r="L90" s="3">
        <f>(E90-H90)/H90</f>
        <v>-0.55918125845229572</v>
      </c>
    </row>
    <row r="91" spans="1:12" x14ac:dyDescent="0.25">
      <c r="D91" s="1" t="s">
        <v>685</v>
      </c>
      <c r="E91" s="18">
        <f>E90-E23</f>
        <v>13153580</v>
      </c>
      <c r="L91" s="3"/>
    </row>
  </sheetData>
  <printOptions gridLines="1"/>
  <pageMargins left="0.25" right="0.25" top="0.75" bottom="0.75" header="0.3" footer="0.3"/>
  <pageSetup scale="85" fitToHeight="0" orientation="landscape" r:id="rId1"/>
  <headerFooter>
    <oddHeader>&amp;C2024 Revenue Estimates</oddHeader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Expenses</vt:lpstr>
      <vt:lpstr>Revenue</vt:lpstr>
      <vt:lpstr>Expenses!Print_Titles</vt:lpstr>
      <vt:lpstr>Revenue!Print_Titles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A. Shackett</dc:creator>
  <cp:lastModifiedBy>Debra A. Shackett</cp:lastModifiedBy>
  <cp:lastPrinted>2024-03-05T15:51:39Z</cp:lastPrinted>
  <dcterms:created xsi:type="dcterms:W3CDTF">2023-09-05T13:41:10Z</dcterms:created>
  <dcterms:modified xsi:type="dcterms:W3CDTF">2024-03-05T19:41:26Z</dcterms:modified>
</cp:coreProperties>
</file>