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2024 Budget\"/>
    </mc:Choice>
  </mc:AlternateContent>
  <xr:revisionPtr revIDLastSave="0" documentId="8_{A0631006-9FC9-4684-A33C-8FA041FCE86C}" xr6:coauthVersionLast="47" xr6:coauthVersionMax="47" xr10:uidLastSave="{00000000-0000-0000-0000-000000000000}"/>
  <bookViews>
    <workbookView xWindow="7845" yWindow="585" windowWidth="17760" windowHeight="15450" xr2:uid="{19987272-30EB-46C5-96FB-E2276C4A6693}"/>
  </bookViews>
  <sheets>
    <sheet name="Expense" sheetId="1" r:id="rId1"/>
    <sheet name="Revenue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2" l="1"/>
  <c r="K88" i="2" s="1"/>
  <c r="K83" i="2"/>
  <c r="F83" i="2"/>
  <c r="K82" i="2"/>
  <c r="F82" i="2"/>
  <c r="K81" i="2"/>
  <c r="F81" i="2"/>
  <c r="K80" i="2"/>
  <c r="F80" i="2"/>
  <c r="K79" i="2"/>
  <c r="F79" i="2"/>
  <c r="K78" i="2"/>
  <c r="F78" i="2"/>
  <c r="K77" i="2"/>
  <c r="F77" i="2"/>
  <c r="K76" i="2"/>
  <c r="F76" i="2"/>
  <c r="K75" i="2"/>
  <c r="F75" i="2"/>
  <c r="E70" i="2"/>
  <c r="K69" i="2"/>
  <c r="F69" i="2"/>
  <c r="F70" i="2" s="1"/>
  <c r="K68" i="2"/>
  <c r="F68" i="2"/>
  <c r="E65" i="2"/>
  <c r="K65" i="2" s="1"/>
  <c r="K64" i="2"/>
  <c r="F64" i="2"/>
  <c r="F63" i="2"/>
  <c r="F65" i="2" s="1"/>
  <c r="E60" i="2"/>
  <c r="K60" i="2" s="1"/>
  <c r="K58" i="2"/>
  <c r="F58" i="2"/>
  <c r="K56" i="2"/>
  <c r="F56" i="2"/>
  <c r="K54" i="2"/>
  <c r="F54" i="2"/>
  <c r="K53" i="2"/>
  <c r="F53" i="2"/>
  <c r="F52" i="2"/>
  <c r="K50" i="2"/>
  <c r="F50" i="2"/>
  <c r="K49" i="2"/>
  <c r="F49" i="2"/>
  <c r="E45" i="2"/>
  <c r="K45" i="2" s="1"/>
  <c r="K42" i="2"/>
  <c r="F42" i="2"/>
  <c r="K41" i="2"/>
  <c r="F41" i="2"/>
  <c r="K37" i="2"/>
  <c r="F37" i="2"/>
  <c r="K36" i="2"/>
  <c r="F36" i="2"/>
  <c r="F31" i="2"/>
  <c r="E31" i="2"/>
  <c r="K31" i="2" s="1"/>
  <c r="K30" i="2"/>
  <c r="K29" i="2"/>
  <c r="K28" i="2"/>
  <c r="K27" i="2"/>
  <c r="E24" i="2"/>
  <c r="K22" i="2"/>
  <c r="F22" i="2"/>
  <c r="F24" i="2" s="1"/>
  <c r="K19" i="2"/>
  <c r="I19" i="2"/>
  <c r="H19" i="2"/>
  <c r="G19" i="2"/>
  <c r="E19" i="2"/>
  <c r="F18" i="2"/>
  <c r="K17" i="2"/>
  <c r="F17" i="2"/>
  <c r="K14" i="2"/>
  <c r="F14" i="2"/>
  <c r="K13" i="2"/>
  <c r="J13" i="2"/>
  <c r="J19" i="2" s="1"/>
  <c r="F13" i="2"/>
  <c r="K11" i="2"/>
  <c r="F11" i="2"/>
  <c r="K10" i="2"/>
  <c r="E7" i="2"/>
  <c r="K7" i="2" s="1"/>
  <c r="F5" i="2"/>
  <c r="F7" i="2" s="1"/>
  <c r="M969" i="1"/>
  <c r="L969" i="1"/>
  <c r="K969" i="1"/>
  <c r="O946" i="1"/>
  <c r="L944" i="1"/>
  <c r="H944" i="1"/>
  <c r="G944" i="1"/>
  <c r="M943" i="1"/>
  <c r="K943" i="1"/>
  <c r="J943" i="1"/>
  <c r="O943" i="1" s="1"/>
  <c r="I943" i="1"/>
  <c r="K942" i="1"/>
  <c r="J942" i="1"/>
  <c r="N942" i="1" s="1"/>
  <c r="I942" i="1"/>
  <c r="K941" i="1"/>
  <c r="J941" i="1"/>
  <c r="I941" i="1"/>
  <c r="O940" i="1"/>
  <c r="M940" i="1"/>
  <c r="M944" i="1" s="1"/>
  <c r="K940" i="1"/>
  <c r="J940" i="1"/>
  <c r="N940" i="1" s="1"/>
  <c r="I940" i="1"/>
  <c r="K939" i="1"/>
  <c r="J939" i="1"/>
  <c r="N939" i="1" s="1"/>
  <c r="I939" i="1"/>
  <c r="O938" i="1"/>
  <c r="O937" i="1"/>
  <c r="H936" i="1"/>
  <c r="G936" i="1"/>
  <c r="O935" i="1"/>
  <c r="M934" i="1"/>
  <c r="K934" i="1"/>
  <c r="J934" i="1"/>
  <c r="O934" i="1" s="1"/>
  <c r="I934" i="1"/>
  <c r="O933" i="1"/>
  <c r="N932" i="1"/>
  <c r="K932" i="1"/>
  <c r="J932" i="1"/>
  <c r="O932" i="1" s="1"/>
  <c r="I932" i="1"/>
  <c r="K931" i="1"/>
  <c r="J931" i="1"/>
  <c r="O931" i="1" s="1"/>
  <c r="I931" i="1"/>
  <c r="O930" i="1"/>
  <c r="K930" i="1"/>
  <c r="J930" i="1"/>
  <c r="N930" i="1" s="1"/>
  <c r="I930" i="1"/>
  <c r="M929" i="1"/>
  <c r="L929" i="1"/>
  <c r="K929" i="1"/>
  <c r="J929" i="1"/>
  <c r="N929" i="1" s="1"/>
  <c r="I929" i="1"/>
  <c r="M928" i="1"/>
  <c r="L928" i="1"/>
  <c r="K928" i="1"/>
  <c r="J928" i="1"/>
  <c r="O928" i="1" s="1"/>
  <c r="I928" i="1"/>
  <c r="J927" i="1"/>
  <c r="I927" i="1"/>
  <c r="O926" i="1"/>
  <c r="O925" i="1"/>
  <c r="M924" i="1"/>
  <c r="L924" i="1"/>
  <c r="K924" i="1"/>
  <c r="J924" i="1"/>
  <c r="O924" i="1" s="1"/>
  <c r="I924" i="1"/>
  <c r="K923" i="1"/>
  <c r="J923" i="1"/>
  <c r="O923" i="1" s="1"/>
  <c r="I923" i="1"/>
  <c r="J922" i="1"/>
  <c r="O922" i="1" s="1"/>
  <c r="I922" i="1"/>
  <c r="K921" i="1"/>
  <c r="J921" i="1"/>
  <c r="O921" i="1" s="1"/>
  <c r="I921" i="1"/>
  <c r="K920" i="1"/>
  <c r="J920" i="1"/>
  <c r="N920" i="1" s="1"/>
  <c r="I920" i="1"/>
  <c r="M919" i="1"/>
  <c r="L919" i="1"/>
  <c r="K919" i="1"/>
  <c r="J919" i="1"/>
  <c r="O919" i="1" s="1"/>
  <c r="I919" i="1"/>
  <c r="O918" i="1"/>
  <c r="O917" i="1"/>
  <c r="M916" i="1"/>
  <c r="L916" i="1"/>
  <c r="H916" i="1"/>
  <c r="G916" i="1"/>
  <c r="K915" i="1"/>
  <c r="J915" i="1"/>
  <c r="N915" i="1" s="1"/>
  <c r="I915" i="1"/>
  <c r="K914" i="1"/>
  <c r="J914" i="1"/>
  <c r="I914" i="1"/>
  <c r="O913" i="1"/>
  <c r="K912" i="1"/>
  <c r="J912" i="1"/>
  <c r="N912" i="1" s="1"/>
  <c r="I912" i="1"/>
  <c r="O911" i="1"/>
  <c r="N910" i="1"/>
  <c r="K910" i="1"/>
  <c r="J910" i="1"/>
  <c r="O910" i="1" s="1"/>
  <c r="I910" i="1"/>
  <c r="O909" i="1"/>
  <c r="O908" i="1"/>
  <c r="K907" i="1"/>
  <c r="J907" i="1"/>
  <c r="N907" i="1" s="1"/>
  <c r="I907" i="1"/>
  <c r="O906" i="1"/>
  <c r="K905" i="1"/>
  <c r="J905" i="1"/>
  <c r="O905" i="1" s="1"/>
  <c r="I905" i="1"/>
  <c r="K904" i="1"/>
  <c r="J904" i="1"/>
  <c r="N904" i="1" s="1"/>
  <c r="I904" i="1"/>
  <c r="O903" i="1"/>
  <c r="F903" i="1"/>
  <c r="O902" i="1"/>
  <c r="F902" i="1"/>
  <c r="K901" i="1"/>
  <c r="J901" i="1"/>
  <c r="I901" i="1"/>
  <c r="J900" i="1"/>
  <c r="O900" i="1" s="1"/>
  <c r="I900" i="1"/>
  <c r="O899" i="1"/>
  <c r="O898" i="1"/>
  <c r="H897" i="1"/>
  <c r="G897" i="1"/>
  <c r="O896" i="1"/>
  <c r="K896" i="1"/>
  <c r="J896" i="1"/>
  <c r="N896" i="1" s="1"/>
  <c r="I896" i="1"/>
  <c r="M895" i="1"/>
  <c r="L895" i="1"/>
  <c r="K895" i="1"/>
  <c r="J895" i="1"/>
  <c r="O895" i="1" s="1"/>
  <c r="I895" i="1"/>
  <c r="K894" i="1"/>
  <c r="J894" i="1"/>
  <c r="O894" i="1" s="1"/>
  <c r="I894" i="1"/>
  <c r="K893" i="1"/>
  <c r="J893" i="1"/>
  <c r="O893" i="1" s="1"/>
  <c r="I893" i="1"/>
  <c r="N892" i="1"/>
  <c r="M892" i="1"/>
  <c r="L892" i="1"/>
  <c r="K892" i="1"/>
  <c r="J892" i="1"/>
  <c r="O892" i="1" s="1"/>
  <c r="I892" i="1"/>
  <c r="M891" i="1"/>
  <c r="L891" i="1"/>
  <c r="K891" i="1"/>
  <c r="J891" i="1"/>
  <c r="O891" i="1" s="1"/>
  <c r="I891" i="1"/>
  <c r="N890" i="1"/>
  <c r="J890" i="1"/>
  <c r="O890" i="1" s="1"/>
  <c r="I890" i="1"/>
  <c r="O889" i="1"/>
  <c r="O888" i="1"/>
  <c r="M887" i="1"/>
  <c r="L887" i="1"/>
  <c r="K887" i="1"/>
  <c r="J887" i="1"/>
  <c r="O887" i="1" s="1"/>
  <c r="I887" i="1"/>
  <c r="K886" i="1"/>
  <c r="J886" i="1"/>
  <c r="O886" i="1" s="1"/>
  <c r="I886" i="1"/>
  <c r="J885" i="1"/>
  <c r="I885" i="1"/>
  <c r="K884" i="1"/>
  <c r="J884" i="1"/>
  <c r="O884" i="1" s="1"/>
  <c r="I884" i="1"/>
  <c r="K883" i="1"/>
  <c r="J883" i="1"/>
  <c r="N883" i="1" s="1"/>
  <c r="I883" i="1"/>
  <c r="N882" i="1"/>
  <c r="M882" i="1"/>
  <c r="L882" i="1"/>
  <c r="K882" i="1"/>
  <c r="J882" i="1"/>
  <c r="O882" i="1" s="1"/>
  <c r="I882" i="1"/>
  <c r="M881" i="1"/>
  <c r="L881" i="1"/>
  <c r="K881" i="1"/>
  <c r="J881" i="1"/>
  <c r="I881" i="1"/>
  <c r="O880" i="1"/>
  <c r="O879" i="1"/>
  <c r="H878" i="1"/>
  <c r="G878" i="1"/>
  <c r="O877" i="1"/>
  <c r="O876" i="1"/>
  <c r="K876" i="1"/>
  <c r="J876" i="1"/>
  <c r="N876" i="1" s="1"/>
  <c r="I876" i="1"/>
  <c r="K875" i="1"/>
  <c r="J875" i="1"/>
  <c r="O875" i="1" s="1"/>
  <c r="I875" i="1"/>
  <c r="K874" i="1"/>
  <c r="J874" i="1"/>
  <c r="O874" i="1" s="1"/>
  <c r="I874" i="1"/>
  <c r="M873" i="1"/>
  <c r="K873" i="1"/>
  <c r="J873" i="1"/>
  <c r="O873" i="1" s="1"/>
  <c r="I873" i="1"/>
  <c r="K872" i="1"/>
  <c r="J872" i="1"/>
  <c r="O872" i="1" s="1"/>
  <c r="I872" i="1"/>
  <c r="K871" i="1"/>
  <c r="J871" i="1"/>
  <c r="O871" i="1" s="1"/>
  <c r="I871" i="1"/>
  <c r="M870" i="1"/>
  <c r="L870" i="1"/>
  <c r="K870" i="1"/>
  <c r="J870" i="1"/>
  <c r="O870" i="1" s="1"/>
  <c r="I870" i="1"/>
  <c r="M869" i="1"/>
  <c r="L869" i="1"/>
  <c r="K869" i="1"/>
  <c r="J869" i="1"/>
  <c r="O869" i="1" s="1"/>
  <c r="I869" i="1"/>
  <c r="O868" i="1"/>
  <c r="N868" i="1"/>
  <c r="J868" i="1"/>
  <c r="I868" i="1"/>
  <c r="O867" i="1"/>
  <c r="O866" i="1"/>
  <c r="M865" i="1"/>
  <c r="L865" i="1"/>
  <c r="K865" i="1"/>
  <c r="J865" i="1"/>
  <c r="O865" i="1" s="1"/>
  <c r="I865" i="1"/>
  <c r="O864" i="1"/>
  <c r="J863" i="1"/>
  <c r="O863" i="1" s="1"/>
  <c r="I863" i="1"/>
  <c r="K862" i="1"/>
  <c r="J862" i="1"/>
  <c r="I862" i="1"/>
  <c r="K861" i="1"/>
  <c r="J861" i="1"/>
  <c r="O861" i="1" s="1"/>
  <c r="I861" i="1"/>
  <c r="M860" i="1"/>
  <c r="L860" i="1"/>
  <c r="K860" i="1"/>
  <c r="J860" i="1"/>
  <c r="N860" i="1" s="1"/>
  <c r="I860" i="1"/>
  <c r="O859" i="1"/>
  <c r="O858" i="1"/>
  <c r="H857" i="1"/>
  <c r="G857" i="1"/>
  <c r="K856" i="1"/>
  <c r="J856" i="1"/>
  <c r="O856" i="1" s="1"/>
  <c r="I856" i="1"/>
  <c r="K855" i="1"/>
  <c r="J855" i="1"/>
  <c r="O855" i="1" s="1"/>
  <c r="I855" i="1"/>
  <c r="K854" i="1"/>
  <c r="J854" i="1"/>
  <c r="O854" i="1" s="1"/>
  <c r="I854" i="1"/>
  <c r="K853" i="1"/>
  <c r="J853" i="1"/>
  <c r="O853" i="1" s="1"/>
  <c r="I853" i="1"/>
  <c r="F853" i="1"/>
  <c r="M852" i="1"/>
  <c r="K852" i="1"/>
  <c r="J852" i="1"/>
  <c r="I852" i="1"/>
  <c r="N851" i="1"/>
  <c r="K851" i="1"/>
  <c r="J851" i="1"/>
  <c r="O851" i="1" s="1"/>
  <c r="I851" i="1"/>
  <c r="N850" i="1"/>
  <c r="K850" i="1"/>
  <c r="J850" i="1"/>
  <c r="O850" i="1" s="1"/>
  <c r="I850" i="1"/>
  <c r="O849" i="1"/>
  <c r="O848" i="1"/>
  <c r="F848" i="1"/>
  <c r="N847" i="1"/>
  <c r="K847" i="1"/>
  <c r="J847" i="1"/>
  <c r="O847" i="1" s="1"/>
  <c r="I847" i="1"/>
  <c r="K846" i="1"/>
  <c r="J846" i="1"/>
  <c r="O846" i="1" s="1"/>
  <c r="I846" i="1"/>
  <c r="K845" i="1"/>
  <c r="J845" i="1"/>
  <c r="O845" i="1" s="1"/>
  <c r="I845" i="1"/>
  <c r="M844" i="1"/>
  <c r="L844" i="1"/>
  <c r="K844" i="1"/>
  <c r="J844" i="1"/>
  <c r="O844" i="1" s="1"/>
  <c r="I844" i="1"/>
  <c r="M843" i="1"/>
  <c r="L843" i="1"/>
  <c r="K843" i="1"/>
  <c r="J843" i="1"/>
  <c r="O843" i="1" s="1"/>
  <c r="I843" i="1"/>
  <c r="J842" i="1"/>
  <c r="O842" i="1" s="1"/>
  <c r="I842" i="1"/>
  <c r="O841" i="1"/>
  <c r="F841" i="1"/>
  <c r="O840" i="1"/>
  <c r="M839" i="1"/>
  <c r="L839" i="1"/>
  <c r="K839" i="1"/>
  <c r="J839" i="1"/>
  <c r="I839" i="1"/>
  <c r="K838" i="1"/>
  <c r="J838" i="1"/>
  <c r="O838" i="1" s="1"/>
  <c r="I838" i="1"/>
  <c r="K837" i="1"/>
  <c r="J837" i="1"/>
  <c r="O837" i="1" s="1"/>
  <c r="I837" i="1"/>
  <c r="K836" i="1"/>
  <c r="J836" i="1"/>
  <c r="O836" i="1" s="1"/>
  <c r="I836" i="1"/>
  <c r="K835" i="1"/>
  <c r="J835" i="1"/>
  <c r="N835" i="1" s="1"/>
  <c r="I835" i="1"/>
  <c r="K834" i="1"/>
  <c r="J834" i="1"/>
  <c r="O834" i="1" s="1"/>
  <c r="I834" i="1"/>
  <c r="M833" i="1"/>
  <c r="L833" i="1"/>
  <c r="K833" i="1"/>
  <c r="J833" i="1"/>
  <c r="I833" i="1"/>
  <c r="N832" i="1"/>
  <c r="K832" i="1"/>
  <c r="J832" i="1"/>
  <c r="O832" i="1" s="1"/>
  <c r="I832" i="1"/>
  <c r="M831" i="1"/>
  <c r="L831" i="1"/>
  <c r="K831" i="1"/>
  <c r="J831" i="1"/>
  <c r="O831" i="1" s="1"/>
  <c r="I831" i="1"/>
  <c r="J830" i="1"/>
  <c r="O830" i="1" s="1"/>
  <c r="I830" i="1"/>
  <c r="J829" i="1"/>
  <c r="O829" i="1" s="1"/>
  <c r="I829" i="1"/>
  <c r="M828" i="1"/>
  <c r="L828" i="1"/>
  <c r="J828" i="1"/>
  <c r="I828" i="1"/>
  <c r="H828" i="1"/>
  <c r="O828" i="1" s="1"/>
  <c r="G828" i="1"/>
  <c r="K827" i="1"/>
  <c r="J827" i="1"/>
  <c r="O827" i="1" s="1"/>
  <c r="I827" i="1"/>
  <c r="K826" i="1"/>
  <c r="J826" i="1"/>
  <c r="O826" i="1" s="1"/>
  <c r="I826" i="1"/>
  <c r="K825" i="1"/>
  <c r="J825" i="1"/>
  <c r="O825" i="1" s="1"/>
  <c r="I825" i="1"/>
  <c r="K824" i="1"/>
  <c r="J824" i="1"/>
  <c r="O824" i="1" s="1"/>
  <c r="I824" i="1"/>
  <c r="J823" i="1"/>
  <c r="O823" i="1" s="1"/>
  <c r="O822" i="1"/>
  <c r="I822" i="1"/>
  <c r="H821" i="1"/>
  <c r="G821" i="1"/>
  <c r="K820" i="1"/>
  <c r="J820" i="1"/>
  <c r="O820" i="1" s="1"/>
  <c r="I820" i="1"/>
  <c r="N819" i="1"/>
  <c r="K819" i="1"/>
  <c r="J819" i="1"/>
  <c r="O819" i="1" s="1"/>
  <c r="I819" i="1"/>
  <c r="L818" i="1"/>
  <c r="K818" i="1"/>
  <c r="J818" i="1"/>
  <c r="O818" i="1" s="1"/>
  <c r="I818" i="1"/>
  <c r="K817" i="1"/>
  <c r="J817" i="1"/>
  <c r="O817" i="1" s="1"/>
  <c r="I817" i="1"/>
  <c r="K816" i="1"/>
  <c r="J816" i="1"/>
  <c r="N816" i="1" s="1"/>
  <c r="I816" i="1"/>
  <c r="M815" i="1"/>
  <c r="L815" i="1"/>
  <c r="K815" i="1"/>
  <c r="J815" i="1"/>
  <c r="N815" i="1" s="1"/>
  <c r="I815" i="1"/>
  <c r="M814" i="1"/>
  <c r="L814" i="1"/>
  <c r="K814" i="1"/>
  <c r="J814" i="1"/>
  <c r="O814" i="1" s="1"/>
  <c r="I814" i="1"/>
  <c r="J813" i="1"/>
  <c r="I813" i="1"/>
  <c r="O812" i="1"/>
  <c r="N812" i="1"/>
  <c r="O811" i="1"/>
  <c r="N811" i="1"/>
  <c r="M810" i="1"/>
  <c r="L810" i="1"/>
  <c r="K810" i="1"/>
  <c r="J810" i="1"/>
  <c r="O810" i="1" s="1"/>
  <c r="I810" i="1"/>
  <c r="K809" i="1"/>
  <c r="J809" i="1"/>
  <c r="I809" i="1"/>
  <c r="K808" i="1"/>
  <c r="J808" i="1"/>
  <c r="O808" i="1" s="1"/>
  <c r="I808" i="1"/>
  <c r="K807" i="1"/>
  <c r="J807" i="1"/>
  <c r="O807" i="1" s="1"/>
  <c r="I807" i="1"/>
  <c r="K806" i="1"/>
  <c r="J806" i="1"/>
  <c r="O806" i="1" s="1"/>
  <c r="I806" i="1"/>
  <c r="O805" i="1"/>
  <c r="M805" i="1"/>
  <c r="L805" i="1"/>
  <c r="K805" i="1"/>
  <c r="J805" i="1"/>
  <c r="I805" i="1"/>
  <c r="O804" i="1"/>
  <c r="J803" i="1"/>
  <c r="O803" i="1" s="1"/>
  <c r="I803" i="1"/>
  <c r="G802" i="1"/>
  <c r="K801" i="1"/>
  <c r="J801" i="1"/>
  <c r="O801" i="1" s="1"/>
  <c r="I801" i="1"/>
  <c r="O800" i="1"/>
  <c r="M799" i="1"/>
  <c r="K799" i="1"/>
  <c r="J799" i="1"/>
  <c r="O799" i="1" s="1"/>
  <c r="I799" i="1"/>
  <c r="O798" i="1"/>
  <c r="O797" i="1"/>
  <c r="O796" i="1"/>
  <c r="O795" i="1"/>
  <c r="O794" i="1"/>
  <c r="O793" i="1"/>
  <c r="O792" i="1"/>
  <c r="O791" i="1"/>
  <c r="O790" i="1"/>
  <c r="O789" i="1"/>
  <c r="O788" i="1"/>
  <c r="K787" i="1"/>
  <c r="J787" i="1"/>
  <c r="O787" i="1" s="1"/>
  <c r="I787" i="1"/>
  <c r="O786" i="1"/>
  <c r="O785" i="1"/>
  <c r="O784" i="1"/>
  <c r="O783" i="1"/>
  <c r="O782" i="1"/>
  <c r="O781" i="1"/>
  <c r="M781" i="1"/>
  <c r="L781" i="1"/>
  <c r="K781" i="1"/>
  <c r="O780" i="1"/>
  <c r="N780" i="1"/>
  <c r="K780" i="1"/>
  <c r="I780" i="1"/>
  <c r="O779" i="1"/>
  <c r="N779" i="1"/>
  <c r="K779" i="1"/>
  <c r="I779" i="1"/>
  <c r="O778" i="1"/>
  <c r="N778" i="1"/>
  <c r="K778" i="1"/>
  <c r="I778" i="1"/>
  <c r="O777" i="1"/>
  <c r="N777" i="1"/>
  <c r="K777" i="1"/>
  <c r="I777" i="1"/>
  <c r="O776" i="1"/>
  <c r="N776" i="1"/>
  <c r="L776" i="1"/>
  <c r="K776" i="1"/>
  <c r="I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M755" i="1"/>
  <c r="K755" i="1"/>
  <c r="J755" i="1"/>
  <c r="O755" i="1" s="1"/>
  <c r="I755" i="1"/>
  <c r="H755" i="1"/>
  <c r="O754" i="1"/>
  <c r="K753" i="1"/>
  <c r="J753" i="1"/>
  <c r="O753" i="1" s="1"/>
  <c r="I753" i="1"/>
  <c r="K752" i="1"/>
  <c r="J752" i="1"/>
  <c r="N752" i="1" s="1"/>
  <c r="I752" i="1"/>
  <c r="K751" i="1"/>
  <c r="J751" i="1"/>
  <c r="O751" i="1" s="1"/>
  <c r="I751" i="1"/>
  <c r="M750" i="1"/>
  <c r="L750" i="1"/>
  <c r="K750" i="1"/>
  <c r="J750" i="1"/>
  <c r="I750" i="1"/>
  <c r="K749" i="1"/>
  <c r="J749" i="1"/>
  <c r="O749" i="1" s="1"/>
  <c r="I749" i="1"/>
  <c r="F749" i="1"/>
  <c r="O748" i="1"/>
  <c r="O747" i="1"/>
  <c r="O746" i="1"/>
  <c r="H745" i="1"/>
  <c r="K744" i="1"/>
  <c r="J744" i="1"/>
  <c r="O744" i="1" s="1"/>
  <c r="I744" i="1"/>
  <c r="K743" i="1"/>
  <c r="J743" i="1"/>
  <c r="O743" i="1" s="1"/>
  <c r="I743" i="1"/>
  <c r="O742" i="1"/>
  <c r="M742" i="1"/>
  <c r="L742" i="1"/>
  <c r="K742" i="1"/>
  <c r="J742" i="1"/>
  <c r="N742" i="1" s="1"/>
  <c r="I742" i="1"/>
  <c r="M741" i="1"/>
  <c r="L741" i="1"/>
  <c r="K741" i="1"/>
  <c r="J741" i="1"/>
  <c r="O741" i="1" s="1"/>
  <c r="I741" i="1"/>
  <c r="J740" i="1"/>
  <c r="I740" i="1"/>
  <c r="O739" i="1"/>
  <c r="O738" i="1"/>
  <c r="M737" i="1"/>
  <c r="L737" i="1"/>
  <c r="K737" i="1"/>
  <c r="J737" i="1"/>
  <c r="O737" i="1" s="1"/>
  <c r="I737" i="1"/>
  <c r="O736" i="1"/>
  <c r="K736" i="1"/>
  <c r="J736" i="1"/>
  <c r="I736" i="1"/>
  <c r="K735" i="1"/>
  <c r="J735" i="1"/>
  <c r="I735" i="1"/>
  <c r="K734" i="1"/>
  <c r="J734" i="1"/>
  <c r="O734" i="1" s="1"/>
  <c r="I734" i="1"/>
  <c r="O733" i="1"/>
  <c r="M733" i="1"/>
  <c r="L733" i="1"/>
  <c r="K733" i="1"/>
  <c r="J733" i="1"/>
  <c r="N733" i="1" s="1"/>
  <c r="I733" i="1"/>
  <c r="O732" i="1"/>
  <c r="O731" i="1"/>
  <c r="G730" i="1"/>
  <c r="O729" i="1"/>
  <c r="N729" i="1"/>
  <c r="K729" i="1"/>
  <c r="I729" i="1"/>
  <c r="O728" i="1"/>
  <c r="N728" i="1"/>
  <c r="M728" i="1"/>
  <c r="K728" i="1"/>
  <c r="I728" i="1"/>
  <c r="O727" i="1"/>
  <c r="N727" i="1"/>
  <c r="M727" i="1"/>
  <c r="L727" i="1"/>
  <c r="K727" i="1"/>
  <c r="I727" i="1"/>
  <c r="O726" i="1"/>
  <c r="N726" i="1"/>
  <c r="K726" i="1"/>
  <c r="I726" i="1"/>
  <c r="O725" i="1"/>
  <c r="O724" i="1"/>
  <c r="O723" i="1"/>
  <c r="O722" i="1"/>
  <c r="O721" i="1"/>
  <c r="N721" i="1"/>
  <c r="K721" i="1"/>
  <c r="I721" i="1"/>
  <c r="O720" i="1"/>
  <c r="N720" i="1"/>
  <c r="L720" i="1"/>
  <c r="K720" i="1"/>
  <c r="I720" i="1"/>
  <c r="O719" i="1"/>
  <c r="O718" i="1"/>
  <c r="O717" i="1"/>
  <c r="O716" i="1"/>
  <c r="O715" i="1"/>
  <c r="O714" i="1"/>
  <c r="O713" i="1"/>
  <c r="O712" i="1"/>
  <c r="O711" i="1"/>
  <c r="O710" i="1"/>
  <c r="O709" i="1"/>
  <c r="K708" i="1"/>
  <c r="J708" i="1"/>
  <c r="O708" i="1" s="1"/>
  <c r="I708" i="1"/>
  <c r="O707" i="1"/>
  <c r="N707" i="1"/>
  <c r="K707" i="1"/>
  <c r="J707" i="1"/>
  <c r="I707" i="1"/>
  <c r="K706" i="1"/>
  <c r="J706" i="1"/>
  <c r="O706" i="1" s="1"/>
  <c r="I706" i="1"/>
  <c r="O705" i="1"/>
  <c r="K704" i="1"/>
  <c r="J704" i="1"/>
  <c r="O704" i="1" s="1"/>
  <c r="I704" i="1"/>
  <c r="O703" i="1"/>
  <c r="F703" i="1"/>
  <c r="O702" i="1"/>
  <c r="F702" i="1"/>
  <c r="O701" i="1"/>
  <c r="F701" i="1"/>
  <c r="K700" i="1"/>
  <c r="J700" i="1"/>
  <c r="O700" i="1" s="1"/>
  <c r="I700" i="1"/>
  <c r="O699" i="1"/>
  <c r="O698" i="1"/>
  <c r="O697" i="1"/>
  <c r="O696" i="1"/>
  <c r="O695" i="1"/>
  <c r="O694" i="1"/>
  <c r="O693" i="1"/>
  <c r="M692" i="1"/>
  <c r="K692" i="1"/>
  <c r="J692" i="1"/>
  <c r="O692" i="1" s="1"/>
  <c r="I692" i="1"/>
  <c r="O691" i="1"/>
  <c r="O690" i="1"/>
  <c r="O689" i="1"/>
  <c r="K688" i="1"/>
  <c r="J688" i="1"/>
  <c r="O688" i="1" s="1"/>
  <c r="I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K670" i="1"/>
  <c r="J670" i="1"/>
  <c r="O670" i="1" s="1"/>
  <c r="I670" i="1"/>
  <c r="K669" i="1"/>
  <c r="J669" i="1"/>
  <c r="O669" i="1" s="1"/>
  <c r="I669" i="1"/>
  <c r="K668" i="1"/>
  <c r="J668" i="1"/>
  <c r="O668" i="1" s="1"/>
  <c r="I668" i="1"/>
  <c r="O667" i="1"/>
  <c r="O666" i="1"/>
  <c r="F666" i="1"/>
  <c r="H663" i="1" s="1"/>
  <c r="O665" i="1"/>
  <c r="O664" i="1"/>
  <c r="M663" i="1"/>
  <c r="K663" i="1"/>
  <c r="J663" i="1"/>
  <c r="I663" i="1"/>
  <c r="K662" i="1"/>
  <c r="J662" i="1"/>
  <c r="O662" i="1" s="1"/>
  <c r="I662" i="1"/>
  <c r="O661" i="1"/>
  <c r="O660" i="1"/>
  <c r="O659" i="1"/>
  <c r="K658" i="1"/>
  <c r="J658" i="1"/>
  <c r="O658" i="1" s="1"/>
  <c r="I658" i="1"/>
  <c r="K657" i="1"/>
  <c r="J657" i="1"/>
  <c r="O657" i="1" s="1"/>
  <c r="I657" i="1"/>
  <c r="K656" i="1"/>
  <c r="J656" i="1"/>
  <c r="O656" i="1" s="1"/>
  <c r="I656" i="1"/>
  <c r="K655" i="1"/>
  <c r="J655" i="1"/>
  <c r="I655" i="1"/>
  <c r="O654" i="1"/>
  <c r="O653" i="1"/>
  <c r="M652" i="1"/>
  <c r="L652" i="1"/>
  <c r="K652" i="1"/>
  <c r="J652" i="1"/>
  <c r="I652" i="1"/>
  <c r="H652" i="1"/>
  <c r="O652" i="1" s="1"/>
  <c r="O651" i="1"/>
  <c r="O650" i="1"/>
  <c r="M649" i="1"/>
  <c r="L649" i="1"/>
  <c r="K649" i="1"/>
  <c r="J649" i="1"/>
  <c r="I649" i="1"/>
  <c r="H649" i="1"/>
  <c r="O649" i="1" s="1"/>
  <c r="J648" i="1"/>
  <c r="I648" i="1"/>
  <c r="M647" i="1"/>
  <c r="L647" i="1"/>
  <c r="K647" i="1"/>
  <c r="J647" i="1"/>
  <c r="O647" i="1" s="1"/>
  <c r="I647" i="1"/>
  <c r="K646" i="1"/>
  <c r="J646" i="1"/>
  <c r="O646" i="1" s="1"/>
  <c r="I646" i="1"/>
  <c r="O645" i="1"/>
  <c r="O644" i="1"/>
  <c r="O643" i="1"/>
  <c r="K642" i="1"/>
  <c r="J642" i="1"/>
  <c r="I642" i="1"/>
  <c r="H642" i="1"/>
  <c r="O641" i="1"/>
  <c r="N641" i="1"/>
  <c r="K641" i="1"/>
  <c r="J641" i="1"/>
  <c r="I641" i="1"/>
  <c r="M640" i="1"/>
  <c r="L640" i="1"/>
  <c r="K640" i="1"/>
  <c r="J640" i="1"/>
  <c r="O640" i="1" s="1"/>
  <c r="I640" i="1"/>
  <c r="O639" i="1"/>
  <c r="O638" i="1"/>
  <c r="M637" i="1"/>
  <c r="L637" i="1"/>
  <c r="K637" i="1"/>
  <c r="J637" i="1"/>
  <c r="I637" i="1"/>
  <c r="H637" i="1"/>
  <c r="O637" i="1" s="1"/>
  <c r="J636" i="1"/>
  <c r="O636" i="1" s="1"/>
  <c r="I636" i="1"/>
  <c r="J635" i="1"/>
  <c r="O635" i="1" s="1"/>
  <c r="I635" i="1"/>
  <c r="M634" i="1"/>
  <c r="L634" i="1"/>
  <c r="J634" i="1"/>
  <c r="I634" i="1"/>
  <c r="H634" i="1"/>
  <c r="G634" i="1"/>
  <c r="O633" i="1"/>
  <c r="O632" i="1"/>
  <c r="O631" i="1"/>
  <c r="N631" i="1"/>
  <c r="K631" i="1"/>
  <c r="J631" i="1"/>
  <c r="I631" i="1"/>
  <c r="O630" i="1"/>
  <c r="K629" i="1"/>
  <c r="K634" i="1" s="1"/>
  <c r="J629" i="1"/>
  <c r="I629" i="1"/>
  <c r="K628" i="1"/>
  <c r="J628" i="1"/>
  <c r="O628" i="1" s="1"/>
  <c r="I628" i="1"/>
  <c r="O627" i="1"/>
  <c r="O626" i="1"/>
  <c r="O625" i="1"/>
  <c r="M623" i="1"/>
  <c r="L623" i="1"/>
  <c r="J623" i="1"/>
  <c r="I623" i="1"/>
  <c r="H623" i="1"/>
  <c r="G623" i="1"/>
  <c r="O622" i="1"/>
  <c r="O621" i="1"/>
  <c r="K621" i="1"/>
  <c r="K623" i="1" s="1"/>
  <c r="O620" i="1"/>
  <c r="O619" i="1"/>
  <c r="M618" i="1"/>
  <c r="L618" i="1"/>
  <c r="H618" i="1"/>
  <c r="G618" i="1"/>
  <c r="O617" i="1"/>
  <c r="O616" i="1"/>
  <c r="K615" i="1"/>
  <c r="J615" i="1"/>
  <c r="O615" i="1" s="1"/>
  <c r="I615" i="1"/>
  <c r="O614" i="1"/>
  <c r="K613" i="1"/>
  <c r="J613" i="1"/>
  <c r="O613" i="1" s="1"/>
  <c r="I613" i="1"/>
  <c r="K612" i="1"/>
  <c r="J612" i="1"/>
  <c r="N612" i="1" s="1"/>
  <c r="I612" i="1"/>
  <c r="O611" i="1"/>
  <c r="O610" i="1"/>
  <c r="M609" i="1"/>
  <c r="L609" i="1"/>
  <c r="H609" i="1"/>
  <c r="G609" i="1"/>
  <c r="O608" i="1"/>
  <c r="K607" i="1"/>
  <c r="J607" i="1"/>
  <c r="N607" i="1" s="1"/>
  <c r="I607" i="1"/>
  <c r="J606" i="1"/>
  <c r="O606" i="1" s="1"/>
  <c r="I606" i="1"/>
  <c r="K605" i="1"/>
  <c r="J605" i="1"/>
  <c r="O605" i="1" s="1"/>
  <c r="I605" i="1"/>
  <c r="K604" i="1"/>
  <c r="J604" i="1"/>
  <c r="N604" i="1" s="1"/>
  <c r="I604" i="1"/>
  <c r="O603" i="1"/>
  <c r="M602" i="1"/>
  <c r="L602" i="1"/>
  <c r="J602" i="1"/>
  <c r="H602" i="1"/>
  <c r="G602" i="1"/>
  <c r="O601" i="1"/>
  <c r="O600" i="1"/>
  <c r="O599" i="1"/>
  <c r="N599" i="1"/>
  <c r="K599" i="1"/>
  <c r="K602" i="1" s="1"/>
  <c r="I599" i="1"/>
  <c r="I602" i="1" s="1"/>
  <c r="O598" i="1"/>
  <c r="O597" i="1"/>
  <c r="L596" i="1"/>
  <c r="H596" i="1"/>
  <c r="G596" i="1"/>
  <c r="N595" i="1"/>
  <c r="K595" i="1"/>
  <c r="J595" i="1"/>
  <c r="O595" i="1" s="1"/>
  <c r="I595" i="1"/>
  <c r="N594" i="1"/>
  <c r="K594" i="1"/>
  <c r="J594" i="1"/>
  <c r="O594" i="1" s="1"/>
  <c r="I594" i="1"/>
  <c r="K593" i="1"/>
  <c r="J593" i="1"/>
  <c r="I593" i="1"/>
  <c r="M592" i="1"/>
  <c r="K592" i="1"/>
  <c r="J592" i="1"/>
  <c r="O592" i="1" s="1"/>
  <c r="I592" i="1"/>
  <c r="J591" i="1"/>
  <c r="O591" i="1" s="1"/>
  <c r="I591" i="1"/>
  <c r="N590" i="1"/>
  <c r="K590" i="1"/>
  <c r="J590" i="1"/>
  <c r="O590" i="1" s="1"/>
  <c r="I590" i="1"/>
  <c r="K589" i="1"/>
  <c r="J589" i="1"/>
  <c r="O589" i="1" s="1"/>
  <c r="I589" i="1"/>
  <c r="K588" i="1"/>
  <c r="J588" i="1"/>
  <c r="I588" i="1"/>
  <c r="O587" i="1"/>
  <c r="O586" i="1"/>
  <c r="K585" i="1"/>
  <c r="J585" i="1"/>
  <c r="O585" i="1" s="1"/>
  <c r="I585" i="1"/>
  <c r="O584" i="1"/>
  <c r="O583" i="1"/>
  <c r="O582" i="1"/>
  <c r="K581" i="1"/>
  <c r="J581" i="1"/>
  <c r="O581" i="1" s="1"/>
  <c r="I581" i="1"/>
  <c r="O580" i="1"/>
  <c r="K580" i="1"/>
  <c r="J580" i="1"/>
  <c r="N580" i="1" s="1"/>
  <c r="K579" i="1"/>
  <c r="J579" i="1"/>
  <c r="I579" i="1"/>
  <c r="M578" i="1"/>
  <c r="K578" i="1"/>
  <c r="J578" i="1"/>
  <c r="O578" i="1" s="1"/>
  <c r="I578" i="1"/>
  <c r="K577" i="1"/>
  <c r="J577" i="1"/>
  <c r="O577" i="1" s="1"/>
  <c r="I577" i="1"/>
  <c r="M576" i="1"/>
  <c r="K576" i="1"/>
  <c r="J576" i="1"/>
  <c r="I576" i="1"/>
  <c r="J575" i="1"/>
  <c r="O575" i="1" s="1"/>
  <c r="O574" i="1"/>
  <c r="M573" i="1"/>
  <c r="L573" i="1"/>
  <c r="G573" i="1"/>
  <c r="O572" i="1"/>
  <c r="F572" i="1"/>
  <c r="O571" i="1"/>
  <c r="F571" i="1"/>
  <c r="O570" i="1"/>
  <c r="F570" i="1"/>
  <c r="O569" i="1"/>
  <c r="K568" i="1"/>
  <c r="J568" i="1"/>
  <c r="I568" i="1"/>
  <c r="O567" i="1"/>
  <c r="O566" i="1"/>
  <c r="O565" i="1"/>
  <c r="F565" i="1"/>
  <c r="K564" i="1"/>
  <c r="J564" i="1"/>
  <c r="I564" i="1"/>
  <c r="K563" i="1"/>
  <c r="J563" i="1"/>
  <c r="O563" i="1" s="1"/>
  <c r="I563" i="1"/>
  <c r="K562" i="1"/>
  <c r="J562" i="1"/>
  <c r="I562" i="1"/>
  <c r="O561" i="1"/>
  <c r="O560" i="1"/>
  <c r="O559" i="1"/>
  <c r="O558" i="1"/>
  <c r="O557" i="1"/>
  <c r="K556" i="1"/>
  <c r="J556" i="1"/>
  <c r="O556" i="1" s="1"/>
  <c r="I556" i="1"/>
  <c r="H556" i="1"/>
  <c r="K555" i="1"/>
  <c r="J555" i="1"/>
  <c r="O555" i="1" s="1"/>
  <c r="I555" i="1"/>
  <c r="O554" i="1"/>
  <c r="O553" i="1"/>
  <c r="K552" i="1"/>
  <c r="J552" i="1"/>
  <c r="I552" i="1"/>
  <c r="H552" i="1"/>
  <c r="K551" i="1"/>
  <c r="J551" i="1"/>
  <c r="N551" i="1" s="1"/>
  <c r="I551" i="1"/>
  <c r="O550" i="1"/>
  <c r="O549" i="1"/>
  <c r="O548" i="1"/>
  <c r="O547" i="1"/>
  <c r="K546" i="1"/>
  <c r="J546" i="1"/>
  <c r="O546" i="1" s="1"/>
  <c r="I546" i="1"/>
  <c r="O545" i="1"/>
  <c r="O544" i="1"/>
  <c r="K543" i="1"/>
  <c r="J543" i="1"/>
  <c r="N543" i="1" s="1"/>
  <c r="I543" i="1"/>
  <c r="K542" i="1"/>
  <c r="J542" i="1"/>
  <c r="N542" i="1" s="1"/>
  <c r="I542" i="1"/>
  <c r="O541" i="1"/>
  <c r="O540" i="1"/>
  <c r="O539" i="1"/>
  <c r="O538" i="1"/>
  <c r="O537" i="1"/>
  <c r="O536" i="1"/>
  <c r="O535" i="1"/>
  <c r="O534" i="1"/>
  <c r="O533" i="1"/>
  <c r="O532" i="1"/>
  <c r="O531" i="1"/>
  <c r="K530" i="1"/>
  <c r="J530" i="1"/>
  <c r="N530" i="1" s="1"/>
  <c r="I530" i="1"/>
  <c r="O529" i="1"/>
  <c r="O528" i="1"/>
  <c r="O527" i="1"/>
  <c r="O526" i="1"/>
  <c r="O525" i="1"/>
  <c r="O524" i="1"/>
  <c r="O523" i="1"/>
  <c r="O522" i="1"/>
  <c r="K521" i="1"/>
  <c r="J521" i="1"/>
  <c r="N521" i="1" s="1"/>
  <c r="I521" i="1"/>
  <c r="O520" i="1"/>
  <c r="O519" i="1"/>
  <c r="O518" i="1"/>
  <c r="O517" i="1"/>
  <c r="O516" i="1"/>
  <c r="O515" i="1"/>
  <c r="O514" i="1"/>
  <c r="K513" i="1"/>
  <c r="J513" i="1"/>
  <c r="O513" i="1" s="1"/>
  <c r="I513" i="1"/>
  <c r="K512" i="1"/>
  <c r="J512" i="1"/>
  <c r="O512" i="1" s="1"/>
  <c r="I512" i="1"/>
  <c r="O511" i="1"/>
  <c r="O510" i="1"/>
  <c r="O509" i="1"/>
  <c r="O508" i="1"/>
  <c r="O507" i="1"/>
  <c r="O506" i="1"/>
  <c r="O505" i="1"/>
  <c r="K504" i="1"/>
  <c r="J504" i="1"/>
  <c r="O504" i="1" s="1"/>
  <c r="I504" i="1"/>
  <c r="K503" i="1"/>
  <c r="J503" i="1"/>
  <c r="O503" i="1" s="1"/>
  <c r="I503" i="1"/>
  <c r="K502" i="1"/>
  <c r="J502" i="1"/>
  <c r="O502" i="1" s="1"/>
  <c r="I502" i="1"/>
  <c r="K501" i="1"/>
  <c r="J501" i="1"/>
  <c r="O501" i="1" s="1"/>
  <c r="I501" i="1"/>
  <c r="O500" i="1"/>
  <c r="O499" i="1"/>
  <c r="K498" i="1"/>
  <c r="J498" i="1"/>
  <c r="N498" i="1" s="1"/>
  <c r="I498" i="1"/>
  <c r="O497" i="1"/>
  <c r="O496" i="1"/>
  <c r="K495" i="1"/>
  <c r="J495" i="1"/>
  <c r="I495" i="1"/>
  <c r="H495" i="1"/>
  <c r="O494" i="1"/>
  <c r="O493" i="1"/>
  <c r="O492" i="1"/>
  <c r="K491" i="1"/>
  <c r="J491" i="1"/>
  <c r="I491" i="1"/>
  <c r="K490" i="1"/>
  <c r="J490" i="1"/>
  <c r="N490" i="1" s="1"/>
  <c r="I490" i="1"/>
  <c r="O489" i="1"/>
  <c r="O488" i="1"/>
  <c r="O487" i="1"/>
  <c r="K486" i="1"/>
  <c r="J486" i="1"/>
  <c r="N486" i="1" s="1"/>
  <c r="I486" i="1"/>
  <c r="N485" i="1"/>
  <c r="K485" i="1"/>
  <c r="J485" i="1"/>
  <c r="O485" i="1" s="1"/>
  <c r="I485" i="1"/>
  <c r="O484" i="1"/>
  <c r="O483" i="1"/>
  <c r="O482" i="1"/>
  <c r="K481" i="1"/>
  <c r="J481" i="1"/>
  <c r="I481" i="1"/>
  <c r="H481" i="1"/>
  <c r="N481" i="1" s="1"/>
  <c r="O480" i="1"/>
  <c r="O479" i="1"/>
  <c r="K478" i="1"/>
  <c r="J478" i="1"/>
  <c r="N478" i="1" s="1"/>
  <c r="I478" i="1"/>
  <c r="K477" i="1"/>
  <c r="J477" i="1"/>
  <c r="O477" i="1" s="1"/>
  <c r="I477" i="1"/>
  <c r="O476" i="1"/>
  <c r="F476" i="1"/>
  <c r="O475" i="1"/>
  <c r="F475" i="1"/>
  <c r="O474" i="1"/>
  <c r="F474" i="1"/>
  <c r="K473" i="1"/>
  <c r="J473" i="1"/>
  <c r="I473" i="1"/>
  <c r="O472" i="1"/>
  <c r="K471" i="1"/>
  <c r="J471" i="1"/>
  <c r="N471" i="1" s="1"/>
  <c r="I471" i="1"/>
  <c r="O470" i="1"/>
  <c r="K469" i="1"/>
  <c r="J469" i="1"/>
  <c r="O469" i="1" s="1"/>
  <c r="I469" i="1"/>
  <c r="O468" i="1"/>
  <c r="O467" i="1"/>
  <c r="O466" i="1"/>
  <c r="K465" i="1"/>
  <c r="J465" i="1"/>
  <c r="O465" i="1" s="1"/>
  <c r="I465" i="1"/>
  <c r="O464" i="1"/>
  <c r="O463" i="1"/>
  <c r="K462" i="1"/>
  <c r="J462" i="1"/>
  <c r="I462" i="1"/>
  <c r="H462" i="1"/>
  <c r="O461" i="1"/>
  <c r="O460" i="1"/>
  <c r="K459" i="1"/>
  <c r="J459" i="1"/>
  <c r="O459" i="1" s="1"/>
  <c r="I459" i="1"/>
  <c r="K458" i="1"/>
  <c r="J458" i="1"/>
  <c r="N458" i="1" s="1"/>
  <c r="I458" i="1"/>
  <c r="O457" i="1"/>
  <c r="K457" i="1"/>
  <c r="J457" i="1"/>
  <c r="N457" i="1" s="1"/>
  <c r="I457" i="1"/>
  <c r="K456" i="1"/>
  <c r="J456" i="1"/>
  <c r="I456" i="1"/>
  <c r="K455" i="1"/>
  <c r="J455" i="1"/>
  <c r="O455" i="1" s="1"/>
  <c r="I455" i="1"/>
  <c r="J454" i="1"/>
  <c r="O454" i="1" s="1"/>
  <c r="I454" i="1"/>
  <c r="O453" i="1"/>
  <c r="K453" i="1"/>
  <c r="J453" i="1"/>
  <c r="N453" i="1" s="1"/>
  <c r="I453" i="1"/>
  <c r="K452" i="1"/>
  <c r="J452" i="1"/>
  <c r="O452" i="1" s="1"/>
  <c r="I452" i="1"/>
  <c r="K451" i="1"/>
  <c r="J451" i="1"/>
  <c r="I451" i="1"/>
  <c r="N450" i="1"/>
  <c r="K450" i="1"/>
  <c r="J450" i="1"/>
  <c r="O450" i="1" s="1"/>
  <c r="I450" i="1"/>
  <c r="O449" i="1"/>
  <c r="K449" i="1"/>
  <c r="J449" i="1"/>
  <c r="N449" i="1" s="1"/>
  <c r="I449" i="1"/>
  <c r="K448" i="1"/>
  <c r="J448" i="1"/>
  <c r="O448" i="1" s="1"/>
  <c r="I448" i="1"/>
  <c r="K447" i="1"/>
  <c r="J447" i="1"/>
  <c r="O447" i="1" s="1"/>
  <c r="I447" i="1"/>
  <c r="J446" i="1"/>
  <c r="O446" i="1" s="1"/>
  <c r="I446" i="1"/>
  <c r="J445" i="1"/>
  <c r="O445" i="1" s="1"/>
  <c r="I445" i="1"/>
  <c r="M444" i="1"/>
  <c r="L444" i="1"/>
  <c r="G444" i="1"/>
  <c r="O443" i="1"/>
  <c r="O442" i="1"/>
  <c r="O441" i="1"/>
  <c r="O440" i="1"/>
  <c r="O439" i="1"/>
  <c r="K438" i="1"/>
  <c r="J438" i="1"/>
  <c r="O438" i="1" s="1"/>
  <c r="I438" i="1"/>
  <c r="O437" i="1"/>
  <c r="O436" i="1"/>
  <c r="O435" i="1"/>
  <c r="O434" i="1"/>
  <c r="O433" i="1"/>
  <c r="O432" i="1"/>
  <c r="O431" i="1"/>
  <c r="O430" i="1"/>
  <c r="O429" i="1"/>
  <c r="O428" i="1"/>
  <c r="O427" i="1"/>
  <c r="K426" i="1"/>
  <c r="J426" i="1"/>
  <c r="O426" i="1" s="1"/>
  <c r="I426" i="1"/>
  <c r="O425" i="1"/>
  <c r="O424" i="1"/>
  <c r="K424" i="1"/>
  <c r="J424" i="1"/>
  <c r="N424" i="1" s="1"/>
  <c r="I424" i="1"/>
  <c r="O423" i="1"/>
  <c r="O422" i="1"/>
  <c r="O421" i="1"/>
  <c r="O420" i="1"/>
  <c r="K420" i="1"/>
  <c r="J420" i="1"/>
  <c r="N420" i="1" s="1"/>
  <c r="I420" i="1"/>
  <c r="K419" i="1"/>
  <c r="J419" i="1"/>
  <c r="I419" i="1"/>
  <c r="K418" i="1"/>
  <c r="J418" i="1"/>
  <c r="O418" i="1" s="1"/>
  <c r="I418" i="1"/>
  <c r="K417" i="1"/>
  <c r="J417" i="1"/>
  <c r="O417" i="1" s="1"/>
  <c r="I417" i="1"/>
  <c r="K416" i="1"/>
  <c r="J416" i="1"/>
  <c r="I416" i="1"/>
  <c r="O415" i="1"/>
  <c r="K414" i="1"/>
  <c r="J414" i="1"/>
  <c r="O414" i="1" s="1"/>
  <c r="I414" i="1"/>
  <c r="O413" i="1"/>
  <c r="O412" i="1"/>
  <c r="K411" i="1"/>
  <c r="J411" i="1"/>
  <c r="O411" i="1" s="1"/>
  <c r="I411" i="1"/>
  <c r="K410" i="1"/>
  <c r="J410" i="1"/>
  <c r="O410" i="1" s="1"/>
  <c r="I410" i="1"/>
  <c r="O409" i="1"/>
  <c r="O408" i="1"/>
  <c r="K407" i="1"/>
  <c r="J407" i="1"/>
  <c r="I407" i="1"/>
  <c r="O406" i="1"/>
  <c r="K405" i="1"/>
  <c r="J405" i="1"/>
  <c r="O405" i="1" s="1"/>
  <c r="I405" i="1"/>
  <c r="O404" i="1"/>
  <c r="O403" i="1"/>
  <c r="K402" i="1"/>
  <c r="J402" i="1"/>
  <c r="O402" i="1" s="1"/>
  <c r="I402" i="1"/>
  <c r="K401" i="1"/>
  <c r="J401" i="1"/>
  <c r="N401" i="1" s="1"/>
  <c r="I401" i="1"/>
  <c r="K400" i="1"/>
  <c r="J400" i="1"/>
  <c r="I400" i="1"/>
  <c r="O399" i="1"/>
  <c r="O398" i="1"/>
  <c r="O397" i="1"/>
  <c r="O396" i="1"/>
  <c r="O395" i="1"/>
  <c r="O394" i="1"/>
  <c r="O393" i="1"/>
  <c r="O392" i="1"/>
  <c r="O391" i="1"/>
  <c r="K390" i="1"/>
  <c r="J390" i="1"/>
  <c r="O390" i="1" s="1"/>
  <c r="I390" i="1"/>
  <c r="O389" i="1"/>
  <c r="K388" i="1"/>
  <c r="J388" i="1"/>
  <c r="N388" i="1" s="1"/>
  <c r="I388" i="1"/>
  <c r="J387" i="1"/>
  <c r="O387" i="1" s="1"/>
  <c r="I387" i="1"/>
  <c r="O386" i="1"/>
  <c r="K385" i="1"/>
  <c r="J385" i="1"/>
  <c r="O385" i="1" s="1"/>
  <c r="I385" i="1"/>
  <c r="K384" i="1"/>
  <c r="J384" i="1"/>
  <c r="N384" i="1" s="1"/>
  <c r="I384" i="1"/>
  <c r="O383" i="1"/>
  <c r="O382" i="1"/>
  <c r="O381" i="1"/>
  <c r="O380" i="1"/>
  <c r="O379" i="1"/>
  <c r="O378" i="1"/>
  <c r="O377" i="1"/>
  <c r="K376" i="1"/>
  <c r="J376" i="1"/>
  <c r="O376" i="1" s="1"/>
  <c r="I376" i="1"/>
  <c r="O375" i="1"/>
  <c r="O374" i="1"/>
  <c r="O373" i="1"/>
  <c r="O372" i="1"/>
  <c r="O371" i="1"/>
  <c r="O370" i="1"/>
  <c r="O369" i="1"/>
  <c r="O368" i="1"/>
  <c r="K367" i="1"/>
  <c r="J367" i="1"/>
  <c r="O367" i="1" s="1"/>
  <c r="I367" i="1"/>
  <c r="O366" i="1"/>
  <c r="O365" i="1"/>
  <c r="O364" i="1"/>
  <c r="O363" i="1"/>
  <c r="O362" i="1"/>
  <c r="K361" i="1"/>
  <c r="J361" i="1"/>
  <c r="O361" i="1" s="1"/>
  <c r="I361" i="1"/>
  <c r="O360" i="1"/>
  <c r="O359" i="1"/>
  <c r="O358" i="1"/>
  <c r="K357" i="1"/>
  <c r="J357" i="1"/>
  <c r="I357" i="1"/>
  <c r="H357" i="1"/>
  <c r="O356" i="1"/>
  <c r="O355" i="1"/>
  <c r="O354" i="1"/>
  <c r="K353" i="1"/>
  <c r="J353" i="1"/>
  <c r="O353" i="1" s="1"/>
  <c r="I353" i="1"/>
  <c r="K352" i="1"/>
  <c r="J352" i="1"/>
  <c r="N352" i="1" s="1"/>
  <c r="I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K338" i="1"/>
  <c r="J338" i="1"/>
  <c r="O338" i="1" s="1"/>
  <c r="I338" i="1"/>
  <c r="O337" i="1"/>
  <c r="K336" i="1"/>
  <c r="J336" i="1"/>
  <c r="N336" i="1" s="1"/>
  <c r="I336" i="1"/>
  <c r="K335" i="1"/>
  <c r="J335" i="1"/>
  <c r="I335" i="1"/>
  <c r="K334" i="1"/>
  <c r="J334" i="1"/>
  <c r="O334" i="1" s="1"/>
  <c r="I334" i="1"/>
  <c r="O333" i="1"/>
  <c r="K333" i="1"/>
  <c r="J333" i="1"/>
  <c r="N333" i="1" s="1"/>
  <c r="I333" i="1"/>
  <c r="J332" i="1"/>
  <c r="O332" i="1" s="1"/>
  <c r="I332" i="1"/>
  <c r="K331" i="1"/>
  <c r="J331" i="1"/>
  <c r="N331" i="1" s="1"/>
  <c r="I331" i="1"/>
  <c r="K330" i="1"/>
  <c r="J330" i="1"/>
  <c r="I330" i="1"/>
  <c r="K329" i="1"/>
  <c r="J329" i="1"/>
  <c r="O329" i="1" s="1"/>
  <c r="I329" i="1"/>
  <c r="K328" i="1"/>
  <c r="J328" i="1"/>
  <c r="O328" i="1" s="1"/>
  <c r="I328" i="1"/>
  <c r="K327" i="1"/>
  <c r="J327" i="1"/>
  <c r="I327" i="1"/>
  <c r="K326" i="1"/>
  <c r="J326" i="1"/>
  <c r="O326" i="1" s="1"/>
  <c r="I326" i="1"/>
  <c r="K325" i="1"/>
  <c r="J325" i="1"/>
  <c r="I325" i="1"/>
  <c r="K324" i="1"/>
  <c r="J324" i="1"/>
  <c r="O324" i="1" s="1"/>
  <c r="I324" i="1"/>
  <c r="K323" i="1"/>
  <c r="J323" i="1"/>
  <c r="N323" i="1" s="1"/>
  <c r="I323" i="1"/>
  <c r="K322" i="1"/>
  <c r="J322" i="1"/>
  <c r="I322" i="1"/>
  <c r="N321" i="1"/>
  <c r="K321" i="1"/>
  <c r="J321" i="1"/>
  <c r="O321" i="1" s="1"/>
  <c r="I321" i="1"/>
  <c r="N320" i="1"/>
  <c r="K320" i="1"/>
  <c r="J320" i="1"/>
  <c r="O320" i="1" s="1"/>
  <c r="I320" i="1"/>
  <c r="K319" i="1"/>
  <c r="J319" i="1"/>
  <c r="O319" i="1" s="1"/>
  <c r="I319" i="1"/>
  <c r="O318" i="1"/>
  <c r="K318" i="1"/>
  <c r="J318" i="1"/>
  <c r="N318" i="1" s="1"/>
  <c r="I318" i="1"/>
  <c r="O317" i="1"/>
  <c r="O316" i="1"/>
  <c r="M315" i="1"/>
  <c r="L315" i="1"/>
  <c r="I315" i="1"/>
  <c r="H315" i="1"/>
  <c r="G315" i="1"/>
  <c r="K314" i="1"/>
  <c r="K315" i="1" s="1"/>
  <c r="J314" i="1"/>
  <c r="O314" i="1" s="1"/>
  <c r="O313" i="1"/>
  <c r="O312" i="1"/>
  <c r="M311" i="1"/>
  <c r="L311" i="1"/>
  <c r="G311" i="1"/>
  <c r="O310" i="1"/>
  <c r="O309" i="1"/>
  <c r="O308" i="1"/>
  <c r="O307" i="1"/>
  <c r="O306" i="1"/>
  <c r="O305" i="1"/>
  <c r="O304" i="1"/>
  <c r="F304" i="1"/>
  <c r="H303" i="1" s="1"/>
  <c r="K303" i="1"/>
  <c r="J303" i="1"/>
  <c r="I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N288" i="1"/>
  <c r="K288" i="1"/>
  <c r="J288" i="1"/>
  <c r="O288" i="1" s="1"/>
  <c r="I288" i="1"/>
  <c r="O287" i="1"/>
  <c r="F287" i="1"/>
  <c r="O286" i="1"/>
  <c r="O285" i="1"/>
  <c r="O284" i="1"/>
  <c r="O283" i="1"/>
  <c r="K283" i="1"/>
  <c r="J283" i="1"/>
  <c r="I283" i="1"/>
  <c r="O282" i="1"/>
  <c r="N281" i="1"/>
  <c r="K281" i="1"/>
  <c r="J281" i="1"/>
  <c r="O281" i="1" s="1"/>
  <c r="I281" i="1"/>
  <c r="O280" i="1"/>
  <c r="O279" i="1"/>
  <c r="J278" i="1"/>
  <c r="O278" i="1" s="1"/>
  <c r="I278" i="1"/>
  <c r="O277" i="1"/>
  <c r="J277" i="1"/>
  <c r="N277" i="1" s="1"/>
  <c r="I277" i="1"/>
  <c r="O276" i="1"/>
  <c r="K275" i="1"/>
  <c r="J275" i="1"/>
  <c r="N275" i="1" s="1"/>
  <c r="I275" i="1"/>
  <c r="K274" i="1"/>
  <c r="J274" i="1"/>
  <c r="I274" i="1"/>
  <c r="O273" i="1"/>
  <c r="O272" i="1"/>
  <c r="K271" i="1"/>
  <c r="J271" i="1"/>
  <c r="O271" i="1" s="1"/>
  <c r="I271" i="1"/>
  <c r="O270" i="1"/>
  <c r="O269" i="1"/>
  <c r="K268" i="1"/>
  <c r="J268" i="1"/>
  <c r="O268" i="1" s="1"/>
  <c r="I268" i="1"/>
  <c r="O267" i="1"/>
  <c r="O266" i="1"/>
  <c r="O265" i="1"/>
  <c r="O264" i="1"/>
  <c r="O263" i="1"/>
  <c r="O262" i="1"/>
  <c r="O261" i="1"/>
  <c r="H260" i="1"/>
  <c r="O260" i="1" s="1"/>
  <c r="O259" i="1"/>
  <c r="O258" i="1"/>
  <c r="O257" i="1"/>
  <c r="O256" i="1"/>
  <c r="K255" i="1"/>
  <c r="J255" i="1"/>
  <c r="O255" i="1" s="1"/>
  <c r="I255" i="1"/>
  <c r="O254" i="1"/>
  <c r="O253" i="1"/>
  <c r="O252" i="1"/>
  <c r="K251" i="1"/>
  <c r="J251" i="1"/>
  <c r="I251" i="1"/>
  <c r="O250" i="1"/>
  <c r="O249" i="1"/>
  <c r="K248" i="1"/>
  <c r="J248" i="1"/>
  <c r="N248" i="1" s="1"/>
  <c r="I248" i="1"/>
  <c r="O247" i="1"/>
  <c r="K246" i="1"/>
  <c r="J246" i="1"/>
  <c r="N246" i="1" s="1"/>
  <c r="I246" i="1"/>
  <c r="K245" i="1"/>
  <c r="J245" i="1"/>
  <c r="O245" i="1" s="1"/>
  <c r="I245" i="1"/>
  <c r="K244" i="1"/>
  <c r="J244" i="1"/>
  <c r="N244" i="1" s="1"/>
  <c r="I244" i="1"/>
  <c r="K243" i="1"/>
  <c r="J243" i="1"/>
  <c r="O243" i="1" s="1"/>
  <c r="I243" i="1"/>
  <c r="O242" i="1"/>
  <c r="O241" i="1"/>
  <c r="O240" i="1"/>
  <c r="K239" i="1"/>
  <c r="J239" i="1"/>
  <c r="I239" i="1"/>
  <c r="H239" i="1"/>
  <c r="O238" i="1"/>
  <c r="O237" i="1"/>
  <c r="K236" i="1"/>
  <c r="J236" i="1"/>
  <c r="I236" i="1"/>
  <c r="H236" i="1"/>
  <c r="O235" i="1"/>
  <c r="O234" i="1"/>
  <c r="O233" i="1"/>
  <c r="O232" i="1"/>
  <c r="O231" i="1"/>
  <c r="K231" i="1"/>
  <c r="K230" i="1"/>
  <c r="J230" i="1"/>
  <c r="O230" i="1" s="1"/>
  <c r="I230" i="1"/>
  <c r="K229" i="1"/>
  <c r="J229" i="1"/>
  <c r="N229" i="1" s="1"/>
  <c r="I229" i="1"/>
  <c r="K228" i="1"/>
  <c r="J228" i="1"/>
  <c r="O228" i="1" s="1"/>
  <c r="I228" i="1"/>
  <c r="K227" i="1"/>
  <c r="J227" i="1"/>
  <c r="O227" i="1" s="1"/>
  <c r="I227" i="1"/>
  <c r="J226" i="1"/>
  <c r="O226" i="1" s="1"/>
  <c r="I226" i="1"/>
  <c r="K225" i="1"/>
  <c r="J225" i="1"/>
  <c r="O225" i="1" s="1"/>
  <c r="I225" i="1"/>
  <c r="K224" i="1"/>
  <c r="J224" i="1"/>
  <c r="N224" i="1" s="1"/>
  <c r="I224" i="1"/>
  <c r="O223" i="1"/>
  <c r="N223" i="1"/>
  <c r="K222" i="1"/>
  <c r="J222" i="1"/>
  <c r="O222" i="1" s="1"/>
  <c r="I222" i="1"/>
  <c r="K221" i="1"/>
  <c r="J221" i="1"/>
  <c r="N221" i="1" s="1"/>
  <c r="I221" i="1"/>
  <c r="O220" i="1"/>
  <c r="K220" i="1"/>
  <c r="K219" i="1"/>
  <c r="J219" i="1"/>
  <c r="I219" i="1"/>
  <c r="O218" i="1"/>
  <c r="O217" i="1"/>
  <c r="M216" i="1"/>
  <c r="L216" i="1"/>
  <c r="H216" i="1"/>
  <c r="G216" i="1"/>
  <c r="K215" i="1"/>
  <c r="J215" i="1"/>
  <c r="O215" i="1" s="1"/>
  <c r="I215" i="1"/>
  <c r="K214" i="1"/>
  <c r="J214" i="1"/>
  <c r="N214" i="1" s="1"/>
  <c r="I214" i="1"/>
  <c r="K213" i="1"/>
  <c r="J213" i="1"/>
  <c r="O213" i="1" s="1"/>
  <c r="I213" i="1"/>
  <c r="N212" i="1"/>
  <c r="K212" i="1"/>
  <c r="J212" i="1"/>
  <c r="O212" i="1" s="1"/>
  <c r="I212" i="1"/>
  <c r="O211" i="1"/>
  <c r="O210" i="1"/>
  <c r="K210" i="1"/>
  <c r="J210" i="1"/>
  <c r="N210" i="1" s="1"/>
  <c r="I210" i="1"/>
  <c r="O209" i="1"/>
  <c r="O208" i="1"/>
  <c r="K207" i="1"/>
  <c r="J207" i="1"/>
  <c r="O207" i="1" s="1"/>
  <c r="I207" i="1"/>
  <c r="O206" i="1"/>
  <c r="K205" i="1"/>
  <c r="J205" i="1"/>
  <c r="O205" i="1" s="1"/>
  <c r="I205" i="1"/>
  <c r="K204" i="1"/>
  <c r="J204" i="1"/>
  <c r="O204" i="1" s="1"/>
  <c r="I204" i="1"/>
  <c r="O203" i="1"/>
  <c r="O202" i="1"/>
  <c r="K202" i="1"/>
  <c r="J202" i="1"/>
  <c r="N202" i="1" s="1"/>
  <c r="I202" i="1"/>
  <c r="O201" i="1"/>
  <c r="E201" i="1"/>
  <c r="N200" i="1"/>
  <c r="K200" i="1"/>
  <c r="J200" i="1"/>
  <c r="O200" i="1" s="1"/>
  <c r="I200" i="1"/>
  <c r="K199" i="1"/>
  <c r="J199" i="1"/>
  <c r="N199" i="1" s="1"/>
  <c r="I199" i="1"/>
  <c r="O198" i="1"/>
  <c r="N197" i="1"/>
  <c r="K197" i="1"/>
  <c r="J197" i="1"/>
  <c r="O197" i="1" s="1"/>
  <c r="I197" i="1"/>
  <c r="O196" i="1"/>
  <c r="K195" i="1"/>
  <c r="J195" i="1"/>
  <c r="N195" i="1" s="1"/>
  <c r="I195" i="1"/>
  <c r="O194" i="1"/>
  <c r="O193" i="1"/>
  <c r="K192" i="1"/>
  <c r="J192" i="1"/>
  <c r="O192" i="1" s="1"/>
  <c r="I192" i="1"/>
  <c r="O191" i="1"/>
  <c r="K190" i="1"/>
  <c r="J190" i="1"/>
  <c r="O190" i="1" s="1"/>
  <c r="I190" i="1"/>
  <c r="K189" i="1"/>
  <c r="J189" i="1"/>
  <c r="O189" i="1" s="1"/>
  <c r="I189" i="1"/>
  <c r="K188" i="1"/>
  <c r="J188" i="1"/>
  <c r="N188" i="1" s="1"/>
  <c r="I188" i="1"/>
  <c r="K187" i="1"/>
  <c r="J187" i="1"/>
  <c r="N187" i="1" s="1"/>
  <c r="I187" i="1"/>
  <c r="K186" i="1"/>
  <c r="J186" i="1"/>
  <c r="O186" i="1" s="1"/>
  <c r="I186" i="1"/>
  <c r="J185" i="1"/>
  <c r="O185" i="1" s="1"/>
  <c r="I185" i="1"/>
  <c r="K184" i="1"/>
  <c r="J184" i="1"/>
  <c r="O184" i="1" s="1"/>
  <c r="I184" i="1"/>
  <c r="K183" i="1"/>
  <c r="J183" i="1"/>
  <c r="O183" i="1" s="1"/>
  <c r="I183" i="1"/>
  <c r="O182" i="1"/>
  <c r="K181" i="1"/>
  <c r="J181" i="1"/>
  <c r="O181" i="1" s="1"/>
  <c r="I181" i="1"/>
  <c r="K180" i="1"/>
  <c r="J180" i="1"/>
  <c r="O180" i="1" s="1"/>
  <c r="I180" i="1"/>
  <c r="O179" i="1"/>
  <c r="K179" i="1"/>
  <c r="J179" i="1"/>
  <c r="N179" i="1" s="1"/>
  <c r="I179" i="1"/>
  <c r="K178" i="1"/>
  <c r="J178" i="1"/>
  <c r="N178" i="1" s="1"/>
  <c r="I178" i="1"/>
  <c r="O177" i="1"/>
  <c r="K177" i="1"/>
  <c r="O176" i="1"/>
  <c r="M175" i="1"/>
  <c r="L175" i="1"/>
  <c r="H175" i="1"/>
  <c r="G175" i="1"/>
  <c r="O174" i="1"/>
  <c r="O173" i="1"/>
  <c r="O172" i="1"/>
  <c r="K171" i="1"/>
  <c r="J171" i="1"/>
  <c r="O171" i="1" s="1"/>
  <c r="I171" i="1"/>
  <c r="O170" i="1"/>
  <c r="O169" i="1"/>
  <c r="O168" i="1"/>
  <c r="K168" i="1"/>
  <c r="J168" i="1"/>
  <c r="N168" i="1" s="1"/>
  <c r="I168" i="1"/>
  <c r="O167" i="1"/>
  <c r="O166" i="1"/>
  <c r="O165" i="1"/>
  <c r="K164" i="1"/>
  <c r="J164" i="1"/>
  <c r="N164" i="1" s="1"/>
  <c r="I164" i="1"/>
  <c r="O163" i="1"/>
  <c r="O162" i="1"/>
  <c r="K161" i="1"/>
  <c r="J161" i="1"/>
  <c r="O161" i="1" s="1"/>
  <c r="I161" i="1"/>
  <c r="O160" i="1"/>
  <c r="K159" i="1"/>
  <c r="J159" i="1"/>
  <c r="O159" i="1" s="1"/>
  <c r="I159" i="1"/>
  <c r="K158" i="1"/>
  <c r="J158" i="1"/>
  <c r="O158" i="1" s="1"/>
  <c r="I158" i="1"/>
  <c r="K157" i="1"/>
  <c r="J157" i="1"/>
  <c r="O157" i="1" s="1"/>
  <c r="I157" i="1"/>
  <c r="K156" i="1"/>
  <c r="J156" i="1"/>
  <c r="N156" i="1" s="1"/>
  <c r="I156" i="1"/>
  <c r="K155" i="1"/>
  <c r="J155" i="1"/>
  <c r="O155" i="1" s="1"/>
  <c r="I155" i="1"/>
  <c r="J154" i="1"/>
  <c r="O154" i="1" s="1"/>
  <c r="I154" i="1"/>
  <c r="N153" i="1"/>
  <c r="K153" i="1"/>
  <c r="J153" i="1"/>
  <c r="O153" i="1" s="1"/>
  <c r="I153" i="1"/>
  <c r="O152" i="1"/>
  <c r="N152" i="1"/>
  <c r="K152" i="1"/>
  <c r="I152" i="1"/>
  <c r="O151" i="1"/>
  <c r="K151" i="1"/>
  <c r="J150" i="1"/>
  <c r="O150" i="1" s="1"/>
  <c r="I150" i="1"/>
  <c r="K149" i="1"/>
  <c r="J149" i="1"/>
  <c r="O149" i="1" s="1"/>
  <c r="I149" i="1"/>
  <c r="K148" i="1"/>
  <c r="J148" i="1"/>
  <c r="N148" i="1" s="1"/>
  <c r="I148" i="1"/>
  <c r="K147" i="1"/>
  <c r="J147" i="1"/>
  <c r="O147" i="1" s="1"/>
  <c r="I147" i="1"/>
  <c r="K146" i="1"/>
  <c r="J146" i="1"/>
  <c r="N146" i="1" s="1"/>
  <c r="I146" i="1"/>
  <c r="O145" i="1"/>
  <c r="O144" i="1"/>
  <c r="M143" i="1"/>
  <c r="L143" i="1"/>
  <c r="G143" i="1"/>
  <c r="O142" i="1"/>
  <c r="K142" i="1"/>
  <c r="J142" i="1"/>
  <c r="N142" i="1" s="1"/>
  <c r="I142" i="1"/>
  <c r="K141" i="1"/>
  <c r="J141" i="1"/>
  <c r="N141" i="1" s="1"/>
  <c r="I141" i="1"/>
  <c r="O140" i="1"/>
  <c r="O139" i="1"/>
  <c r="O138" i="1"/>
  <c r="O137" i="1"/>
  <c r="O136" i="1"/>
  <c r="O135" i="1"/>
  <c r="O134" i="1"/>
  <c r="N134" i="1"/>
  <c r="K134" i="1"/>
  <c r="J134" i="1"/>
  <c r="I134" i="1"/>
  <c r="O133" i="1"/>
  <c r="O132" i="1"/>
  <c r="O131" i="1"/>
  <c r="O130" i="1"/>
  <c r="N130" i="1"/>
  <c r="K130" i="1"/>
  <c r="J130" i="1"/>
  <c r="I130" i="1"/>
  <c r="J129" i="1"/>
  <c r="O129" i="1" s="1"/>
  <c r="I129" i="1"/>
  <c r="J128" i="1"/>
  <c r="O128" i="1" s="1"/>
  <c r="I128" i="1"/>
  <c r="J127" i="1"/>
  <c r="O127" i="1" s="1"/>
  <c r="I127" i="1"/>
  <c r="J126" i="1"/>
  <c r="O126" i="1" s="1"/>
  <c r="I126" i="1"/>
  <c r="O125" i="1"/>
  <c r="J125" i="1"/>
  <c r="I125" i="1"/>
  <c r="O124" i="1"/>
  <c r="O123" i="1"/>
  <c r="O122" i="1"/>
  <c r="K121" i="1"/>
  <c r="J121" i="1"/>
  <c r="N121" i="1" s="1"/>
  <c r="I121" i="1"/>
  <c r="K120" i="1"/>
  <c r="J120" i="1"/>
  <c r="O120" i="1" s="1"/>
  <c r="I120" i="1"/>
  <c r="O119" i="1"/>
  <c r="O118" i="1"/>
  <c r="J117" i="1"/>
  <c r="I117" i="1"/>
  <c r="H117" i="1"/>
  <c r="O116" i="1"/>
  <c r="O115" i="1"/>
  <c r="J114" i="1"/>
  <c r="I114" i="1"/>
  <c r="H114" i="1"/>
  <c r="O114" i="1" s="1"/>
  <c r="O113" i="1"/>
  <c r="O112" i="1"/>
  <c r="J111" i="1"/>
  <c r="O111" i="1" s="1"/>
  <c r="I111" i="1"/>
  <c r="J110" i="1"/>
  <c r="O110" i="1" s="1"/>
  <c r="I110" i="1"/>
  <c r="O109" i="1"/>
  <c r="O108" i="1"/>
  <c r="J107" i="1"/>
  <c r="O107" i="1" s="1"/>
  <c r="I107" i="1"/>
  <c r="H107" i="1"/>
  <c r="O106" i="1"/>
  <c r="O105" i="1"/>
  <c r="J104" i="1"/>
  <c r="I104" i="1"/>
  <c r="H104" i="1"/>
  <c r="H143" i="1" s="1"/>
  <c r="O103" i="1"/>
  <c r="O102" i="1"/>
  <c r="O101" i="1"/>
  <c r="M100" i="1"/>
  <c r="L100" i="1"/>
  <c r="G100" i="1"/>
  <c r="O99" i="1"/>
  <c r="K99" i="1"/>
  <c r="J99" i="1"/>
  <c r="N99" i="1" s="1"/>
  <c r="I99" i="1"/>
  <c r="K98" i="1"/>
  <c r="J98" i="1"/>
  <c r="O98" i="1" s="1"/>
  <c r="I98" i="1"/>
  <c r="K97" i="1"/>
  <c r="J97" i="1"/>
  <c r="N97" i="1" s="1"/>
  <c r="I97" i="1"/>
  <c r="O96" i="1"/>
  <c r="O95" i="1"/>
  <c r="O94" i="1"/>
  <c r="K93" i="1"/>
  <c r="J93" i="1"/>
  <c r="I93" i="1"/>
  <c r="H93" i="1"/>
  <c r="N93" i="1" s="1"/>
  <c r="K92" i="1"/>
  <c r="J92" i="1"/>
  <c r="N92" i="1" s="1"/>
  <c r="I92" i="1"/>
  <c r="K91" i="1"/>
  <c r="J91" i="1"/>
  <c r="N91" i="1" s="1"/>
  <c r="I91" i="1"/>
  <c r="O90" i="1"/>
  <c r="O89" i="1"/>
  <c r="O88" i="1"/>
  <c r="O87" i="1"/>
  <c r="O86" i="1"/>
  <c r="O85" i="1"/>
  <c r="O84" i="1"/>
  <c r="O83" i="1"/>
  <c r="K82" i="1"/>
  <c r="J82" i="1"/>
  <c r="O82" i="1" s="1"/>
  <c r="I82" i="1"/>
  <c r="O81" i="1"/>
  <c r="K80" i="1"/>
  <c r="J80" i="1"/>
  <c r="N80" i="1" s="1"/>
  <c r="I80" i="1"/>
  <c r="K79" i="1"/>
  <c r="J79" i="1"/>
  <c r="N79" i="1" s="1"/>
  <c r="I79" i="1"/>
  <c r="K78" i="1"/>
  <c r="J78" i="1"/>
  <c r="O78" i="1" s="1"/>
  <c r="I78" i="1"/>
  <c r="O77" i="1"/>
  <c r="O76" i="1"/>
  <c r="O75" i="1"/>
  <c r="K74" i="1"/>
  <c r="J74" i="1"/>
  <c r="O74" i="1" s="1"/>
  <c r="I74" i="1"/>
  <c r="K73" i="1"/>
  <c r="J73" i="1"/>
  <c r="O73" i="1" s="1"/>
  <c r="I73" i="1"/>
  <c r="O72" i="1"/>
  <c r="O71" i="1"/>
  <c r="O70" i="1"/>
  <c r="K69" i="1"/>
  <c r="J69" i="1"/>
  <c r="O69" i="1" s="1"/>
  <c r="I69" i="1"/>
  <c r="O68" i="1"/>
  <c r="O67" i="1"/>
  <c r="O66" i="1"/>
  <c r="K65" i="1"/>
  <c r="J65" i="1"/>
  <c r="O65" i="1" s="1"/>
  <c r="I65" i="1"/>
  <c r="K64" i="1"/>
  <c r="J64" i="1"/>
  <c r="O64" i="1" s="1"/>
  <c r="I64" i="1"/>
  <c r="K63" i="1"/>
  <c r="J63" i="1"/>
  <c r="N63" i="1" s="1"/>
  <c r="I63" i="1"/>
  <c r="K62" i="1"/>
  <c r="J62" i="1"/>
  <c r="O62" i="1" s="1"/>
  <c r="I62" i="1"/>
  <c r="K61" i="1"/>
  <c r="J61" i="1"/>
  <c r="O61" i="1" s="1"/>
  <c r="I61" i="1"/>
  <c r="J60" i="1"/>
  <c r="N60" i="1" s="1"/>
  <c r="I60" i="1"/>
  <c r="K59" i="1"/>
  <c r="J59" i="1"/>
  <c r="O59" i="1" s="1"/>
  <c r="I59" i="1"/>
  <c r="O58" i="1"/>
  <c r="K58" i="1"/>
  <c r="J58" i="1"/>
  <c r="N58" i="1" s="1"/>
  <c r="I58" i="1"/>
  <c r="O57" i="1"/>
  <c r="N57" i="1"/>
  <c r="K56" i="1"/>
  <c r="J56" i="1"/>
  <c r="O56" i="1" s="1"/>
  <c r="I56" i="1"/>
  <c r="O55" i="1"/>
  <c r="K55" i="1"/>
  <c r="J55" i="1"/>
  <c r="N55" i="1" s="1"/>
  <c r="I55" i="1"/>
  <c r="K54" i="1"/>
  <c r="J54" i="1"/>
  <c r="O54" i="1" s="1"/>
  <c r="I54" i="1"/>
  <c r="O53" i="1"/>
  <c r="N53" i="1"/>
  <c r="K53" i="1"/>
  <c r="J53" i="1"/>
  <c r="I53" i="1"/>
  <c r="M50" i="1"/>
  <c r="L50" i="1"/>
  <c r="H50" i="1"/>
  <c r="G50" i="1"/>
  <c r="O49" i="1"/>
  <c r="K48" i="1"/>
  <c r="J48" i="1"/>
  <c r="O48" i="1" s="1"/>
  <c r="I48" i="1"/>
  <c r="N47" i="1"/>
  <c r="K47" i="1"/>
  <c r="J47" i="1"/>
  <c r="O47" i="1" s="1"/>
  <c r="I47" i="1"/>
  <c r="K46" i="1"/>
  <c r="J46" i="1"/>
  <c r="N46" i="1" s="1"/>
  <c r="I46" i="1"/>
  <c r="K45" i="1"/>
  <c r="J45" i="1"/>
  <c r="O45" i="1" s="1"/>
  <c r="I45" i="1"/>
  <c r="K44" i="1"/>
  <c r="J44" i="1"/>
  <c r="N44" i="1" s="1"/>
  <c r="I44" i="1"/>
  <c r="K43" i="1"/>
  <c r="J43" i="1"/>
  <c r="O43" i="1" s="1"/>
  <c r="I43" i="1"/>
  <c r="K42" i="1"/>
  <c r="J42" i="1"/>
  <c r="N42" i="1" s="1"/>
  <c r="I42" i="1"/>
  <c r="K41" i="1"/>
  <c r="J41" i="1"/>
  <c r="O41" i="1" s="1"/>
  <c r="I41" i="1"/>
  <c r="K40" i="1"/>
  <c r="J40" i="1"/>
  <c r="O40" i="1" s="1"/>
  <c r="I40" i="1"/>
  <c r="K39" i="1"/>
  <c r="J39" i="1"/>
  <c r="O39" i="1" s="1"/>
  <c r="I39" i="1"/>
  <c r="K38" i="1"/>
  <c r="J38" i="1"/>
  <c r="N38" i="1" s="1"/>
  <c r="I38" i="1"/>
  <c r="K37" i="1"/>
  <c r="J37" i="1"/>
  <c r="O37" i="1" s="1"/>
  <c r="I37" i="1"/>
  <c r="K36" i="1"/>
  <c r="J36" i="1"/>
  <c r="N36" i="1" s="1"/>
  <c r="I36" i="1"/>
  <c r="O35" i="1"/>
  <c r="O34" i="1"/>
  <c r="O33" i="1"/>
  <c r="O32" i="1"/>
  <c r="K32" i="1"/>
  <c r="J32" i="1"/>
  <c r="N32" i="1" s="1"/>
  <c r="I32" i="1"/>
  <c r="O31" i="1"/>
  <c r="O30" i="1"/>
  <c r="K29" i="1"/>
  <c r="J29" i="1"/>
  <c r="O29" i="1" s="1"/>
  <c r="I29" i="1"/>
  <c r="K28" i="1"/>
  <c r="J28" i="1"/>
  <c r="O28" i="1" s="1"/>
  <c r="I28" i="1"/>
  <c r="K27" i="1"/>
  <c r="J27" i="1"/>
  <c r="O27" i="1" s="1"/>
  <c r="I27" i="1"/>
  <c r="K26" i="1"/>
  <c r="J26" i="1"/>
  <c r="N26" i="1" s="1"/>
  <c r="I26" i="1"/>
  <c r="K25" i="1"/>
  <c r="J25" i="1"/>
  <c r="O25" i="1" s="1"/>
  <c r="I25" i="1"/>
  <c r="K24" i="1"/>
  <c r="J24" i="1"/>
  <c r="N24" i="1" s="1"/>
  <c r="I24" i="1"/>
  <c r="K23" i="1"/>
  <c r="J23" i="1"/>
  <c r="O23" i="1" s="1"/>
  <c r="I23" i="1"/>
  <c r="J22" i="1"/>
  <c r="O22" i="1" s="1"/>
  <c r="I22" i="1"/>
  <c r="K21" i="1"/>
  <c r="J21" i="1"/>
  <c r="N21" i="1" s="1"/>
  <c r="I21" i="1"/>
  <c r="K20" i="1"/>
  <c r="J20" i="1"/>
  <c r="O20" i="1" s="1"/>
  <c r="I20" i="1"/>
  <c r="O19" i="1"/>
  <c r="K18" i="1"/>
  <c r="J18" i="1"/>
  <c r="O18" i="1" s="1"/>
  <c r="I18" i="1"/>
  <c r="K17" i="1"/>
  <c r="J17" i="1"/>
  <c r="O17" i="1" s="1"/>
  <c r="I17" i="1"/>
  <c r="K16" i="1"/>
  <c r="J16" i="1"/>
  <c r="N16" i="1" s="1"/>
  <c r="I16" i="1"/>
  <c r="K15" i="1"/>
  <c r="J15" i="1"/>
  <c r="I15" i="1"/>
  <c r="K14" i="1"/>
  <c r="J14" i="1"/>
  <c r="O14" i="1" s="1"/>
  <c r="I14" i="1"/>
  <c r="M11" i="1"/>
  <c r="L11" i="1"/>
  <c r="H11" i="1"/>
  <c r="K10" i="1"/>
  <c r="J10" i="1"/>
  <c r="N10" i="1" s="1"/>
  <c r="I10" i="1"/>
  <c r="K9" i="1"/>
  <c r="J9" i="1"/>
  <c r="O9" i="1" s="1"/>
  <c r="I9" i="1"/>
  <c r="K8" i="1"/>
  <c r="J8" i="1"/>
  <c r="I8" i="1"/>
  <c r="K7" i="1"/>
  <c r="J7" i="1"/>
  <c r="N7" i="1" s="1"/>
  <c r="I7" i="1"/>
  <c r="F19" i="2" l="1"/>
  <c r="E72" i="2"/>
  <c r="K72" i="2" s="1"/>
  <c r="F45" i="2"/>
  <c r="F72" i="2" s="1"/>
  <c r="F90" i="2" s="1"/>
  <c r="K70" i="2"/>
  <c r="F60" i="2"/>
  <c r="F88" i="2"/>
  <c r="L730" i="1"/>
  <c r="O10" i="1"/>
  <c r="N207" i="1"/>
  <c r="O244" i="1"/>
  <c r="O384" i="1"/>
  <c r="O458" i="1"/>
  <c r="N462" i="1"/>
  <c r="O521" i="1"/>
  <c r="N592" i="1"/>
  <c r="N657" i="1"/>
  <c r="N734" i="1"/>
  <c r="N743" i="1"/>
  <c r="O815" i="1"/>
  <c r="N853" i="1"/>
  <c r="L936" i="1"/>
  <c r="O178" i="1"/>
  <c r="N367" i="1"/>
  <c r="N454" i="1"/>
  <c r="O471" i="1"/>
  <c r="O490" i="1"/>
  <c r="O498" i="1"/>
  <c r="O551" i="1"/>
  <c r="O602" i="1"/>
  <c r="N814" i="1"/>
  <c r="N826" i="1"/>
  <c r="N837" i="1"/>
  <c r="K878" i="1"/>
  <c r="N934" i="1"/>
  <c r="N180" i="1"/>
  <c r="N183" i="1"/>
  <c r="O188" i="1"/>
  <c r="N271" i="1"/>
  <c r="O323" i="1"/>
  <c r="N328" i="1"/>
  <c r="N512" i="1"/>
  <c r="N563" i="1"/>
  <c r="O607" i="1"/>
  <c r="N669" i="1"/>
  <c r="N844" i="1"/>
  <c r="O883" i="1"/>
  <c r="N924" i="1"/>
  <c r="K944" i="1"/>
  <c r="O214" i="1"/>
  <c r="O939" i="1"/>
  <c r="I50" i="1"/>
  <c r="O481" i="1"/>
  <c r="N649" i="1"/>
  <c r="L821" i="1"/>
  <c r="N114" i="1"/>
  <c r="O148" i="1"/>
  <c r="O224" i="1"/>
  <c r="O236" i="1"/>
  <c r="N239" i="1"/>
  <c r="O331" i="1"/>
  <c r="O401" i="1"/>
  <c r="N455" i="1"/>
  <c r="M596" i="1"/>
  <c r="N602" i="1"/>
  <c r="O612" i="1"/>
  <c r="O642" i="1"/>
  <c r="N749" i="1"/>
  <c r="K828" i="1"/>
  <c r="N838" i="1"/>
  <c r="I143" i="1"/>
  <c r="I216" i="1"/>
  <c r="O7" i="1"/>
  <c r="K50" i="1"/>
  <c r="O16" i="1"/>
  <c r="N18" i="1"/>
  <c r="N27" i="1"/>
  <c r="N39" i="1"/>
  <c r="N43" i="1"/>
  <c r="O60" i="1"/>
  <c r="N64" i="1"/>
  <c r="O79" i="1"/>
  <c r="O92" i="1"/>
  <c r="N98" i="1"/>
  <c r="H100" i="1"/>
  <c r="J143" i="1"/>
  <c r="O143" i="1" s="1"/>
  <c r="N111" i="1"/>
  <c r="O146" i="1"/>
  <c r="O156" i="1"/>
  <c r="O164" i="1"/>
  <c r="N184" i="1"/>
  <c r="O221" i="1"/>
  <c r="N268" i="1"/>
  <c r="O336" i="1"/>
  <c r="N410" i="1"/>
  <c r="O478" i="1"/>
  <c r="N556" i="1"/>
  <c r="N642" i="1"/>
  <c r="N646" i="1"/>
  <c r="N656" i="1"/>
  <c r="N706" i="1"/>
  <c r="O752" i="1"/>
  <c r="N808" i="1"/>
  <c r="M821" i="1"/>
  <c r="N825" i="1"/>
  <c r="L857" i="1"/>
  <c r="M878" i="1"/>
  <c r="N870" i="1"/>
  <c r="N886" i="1"/>
  <c r="O904" i="1"/>
  <c r="N921" i="1"/>
  <c r="N923" i="1"/>
  <c r="M730" i="1"/>
  <c r="K857" i="1"/>
  <c r="J916" i="1"/>
  <c r="N916" i="1" s="1"/>
  <c r="N14" i="1"/>
  <c r="O21" i="1"/>
  <c r="N23" i="1"/>
  <c r="O104" i="1"/>
  <c r="O117" i="1"/>
  <c r="N158" i="1"/>
  <c r="N161" i="1"/>
  <c r="K216" i="1"/>
  <c r="O187" i="1"/>
  <c r="O195" i="1"/>
  <c r="N226" i="1"/>
  <c r="O246" i="1"/>
  <c r="N332" i="1"/>
  <c r="O388" i="1"/>
  <c r="N417" i="1"/>
  <c r="N452" i="1"/>
  <c r="N465" i="1"/>
  <c r="N469" i="1"/>
  <c r="O542" i="1"/>
  <c r="N578" i="1"/>
  <c r="N589" i="1"/>
  <c r="K618" i="1"/>
  <c r="N628" i="1"/>
  <c r="N700" i="1"/>
  <c r="N741" i="1"/>
  <c r="N810" i="1"/>
  <c r="O816" i="1"/>
  <c r="N818" i="1"/>
  <c r="M857" i="1"/>
  <c r="L878" i="1"/>
  <c r="N884" i="1"/>
  <c r="O907" i="1"/>
  <c r="O929" i="1"/>
  <c r="N931" i="1"/>
  <c r="N943" i="1"/>
  <c r="I821" i="1"/>
  <c r="J11" i="1"/>
  <c r="N11" i="1" s="1"/>
  <c r="O141" i="1"/>
  <c r="N189" i="1"/>
  <c r="N192" i="1"/>
  <c r="O495" i="1"/>
  <c r="O530" i="1"/>
  <c r="N606" i="1"/>
  <c r="H802" i="1"/>
  <c r="K821" i="1"/>
  <c r="N831" i="1"/>
  <c r="N893" i="1"/>
  <c r="N928" i="1"/>
  <c r="J50" i="1"/>
  <c r="N50" i="1" s="1"/>
  <c r="O46" i="1"/>
  <c r="I100" i="1"/>
  <c r="N59" i="1"/>
  <c r="N73" i="1"/>
  <c r="K143" i="1"/>
  <c r="O199" i="1"/>
  <c r="N204" i="1"/>
  <c r="I573" i="1"/>
  <c r="K609" i="1"/>
  <c r="I618" i="1"/>
  <c r="I730" i="1"/>
  <c r="L802" i="1"/>
  <c r="O745" i="1"/>
  <c r="N807" i="1"/>
  <c r="O835" i="1"/>
  <c r="N873" i="1"/>
  <c r="I936" i="1"/>
  <c r="K175" i="1"/>
  <c r="N22" i="1"/>
  <c r="O26" i="1"/>
  <c r="O38" i="1"/>
  <c r="O42" i="1"/>
  <c r="O44" i="1"/>
  <c r="N48" i="1"/>
  <c r="J100" i="1"/>
  <c r="N100" i="1" s="1"/>
  <c r="N61" i="1"/>
  <c r="O63" i="1"/>
  <c r="N69" i="1"/>
  <c r="O80" i="1"/>
  <c r="O91" i="1"/>
  <c r="O97" i="1"/>
  <c r="N110" i="1"/>
  <c r="O121" i="1"/>
  <c r="N157" i="1"/>
  <c r="N222" i="1"/>
  <c r="O229" i="1"/>
  <c r="N314" i="1"/>
  <c r="O486" i="1"/>
  <c r="N502" i="1"/>
  <c r="O604" i="1"/>
  <c r="J730" i="1"/>
  <c r="M802" i="1"/>
  <c r="I916" i="1"/>
  <c r="N905" i="1"/>
  <c r="O912" i="1"/>
  <c r="O915" i="1"/>
  <c r="J936" i="1"/>
  <c r="N936" i="1" s="1"/>
  <c r="O920" i="1"/>
  <c r="K936" i="1"/>
  <c r="I944" i="1"/>
  <c r="O942" i="1"/>
  <c r="K11" i="1"/>
  <c r="K596" i="1"/>
  <c r="K897" i="1"/>
  <c r="K945" i="1" s="1"/>
  <c r="M936" i="1"/>
  <c r="I11" i="1"/>
  <c r="O24" i="1"/>
  <c r="N28" i="1"/>
  <c r="O36" i="1"/>
  <c r="N40" i="1"/>
  <c r="K100" i="1"/>
  <c r="N65" i="1"/>
  <c r="O93" i="1"/>
  <c r="I175" i="1"/>
  <c r="N227" i="1"/>
  <c r="O239" i="1"/>
  <c r="K444" i="1"/>
  <c r="O352" i="1"/>
  <c r="O543" i="1"/>
  <c r="J802" i="1"/>
  <c r="K802" i="1"/>
  <c r="N755" i="1"/>
  <c r="I857" i="1"/>
  <c r="I897" i="1"/>
  <c r="M897" i="1"/>
  <c r="E90" i="2"/>
  <c r="O100" i="1"/>
  <c r="H311" i="1"/>
  <c r="N143" i="1"/>
  <c r="O303" i="1"/>
  <c r="N303" i="1"/>
  <c r="O8" i="1"/>
  <c r="N20" i="1"/>
  <c r="N25" i="1"/>
  <c r="N37" i="1"/>
  <c r="N45" i="1"/>
  <c r="N62" i="1"/>
  <c r="N147" i="1"/>
  <c r="N155" i="1"/>
  <c r="N171" i="1"/>
  <c r="N186" i="1"/>
  <c r="O330" i="1"/>
  <c r="N330" i="1"/>
  <c r="O400" i="1"/>
  <c r="N400" i="1"/>
  <c r="O491" i="1"/>
  <c r="N491" i="1"/>
  <c r="H568" i="1"/>
  <c r="O576" i="1"/>
  <c r="N576" i="1"/>
  <c r="J596" i="1"/>
  <c r="O596" i="1"/>
  <c r="K730" i="1"/>
  <c r="O740" i="1"/>
  <c r="N740" i="1"/>
  <c r="J821" i="1"/>
  <c r="N821" i="1" s="1"/>
  <c r="J857" i="1"/>
  <c r="N857" i="1" s="1"/>
  <c r="O852" i="1"/>
  <c r="N852" i="1"/>
  <c r="I878" i="1"/>
  <c r="O936" i="1"/>
  <c r="O941" i="1"/>
  <c r="N941" i="1"/>
  <c r="L624" i="1"/>
  <c r="O862" i="1"/>
  <c r="N862" i="1"/>
  <c r="N104" i="1"/>
  <c r="J175" i="1"/>
  <c r="O175" i="1" s="1"/>
  <c r="O248" i="1"/>
  <c r="O274" i="1"/>
  <c r="N274" i="1"/>
  <c r="O407" i="1"/>
  <c r="N407" i="1"/>
  <c r="O456" i="1"/>
  <c r="N456" i="1"/>
  <c r="O634" i="1"/>
  <c r="J878" i="1"/>
  <c r="N878" i="1" s="1"/>
  <c r="O885" i="1"/>
  <c r="N885" i="1"/>
  <c r="G624" i="1"/>
  <c r="N154" i="1"/>
  <c r="N185" i="1"/>
  <c r="J216" i="1"/>
  <c r="N216" i="1" s="1"/>
  <c r="I311" i="1"/>
  <c r="N236" i="1"/>
  <c r="I444" i="1"/>
  <c r="O357" i="1"/>
  <c r="N357" i="1"/>
  <c r="H444" i="1"/>
  <c r="O593" i="1"/>
  <c r="N593" i="1"/>
  <c r="M624" i="1"/>
  <c r="O648" i="1"/>
  <c r="N648" i="1"/>
  <c r="O833" i="1"/>
  <c r="N833" i="1"/>
  <c r="J897" i="1"/>
  <c r="N897" i="1" s="1"/>
  <c r="O881" i="1"/>
  <c r="N881" i="1"/>
  <c r="O335" i="1"/>
  <c r="N335" i="1"/>
  <c r="N15" i="1"/>
  <c r="N54" i="1"/>
  <c r="N74" i="1"/>
  <c r="N78" i="1"/>
  <c r="N82" i="1"/>
  <c r="N159" i="1"/>
  <c r="N181" i="1"/>
  <c r="N190" i="1"/>
  <c r="N205" i="1"/>
  <c r="N213" i="1"/>
  <c r="J311" i="1"/>
  <c r="N228" i="1"/>
  <c r="N243" i="1"/>
  <c r="J444" i="1"/>
  <c r="O322" i="1"/>
  <c r="N322" i="1"/>
  <c r="O416" i="1"/>
  <c r="N416" i="1"/>
  <c r="H564" i="1"/>
  <c r="O750" i="1"/>
  <c r="N750" i="1"/>
  <c r="O821" i="1"/>
  <c r="O839" i="1"/>
  <c r="N839" i="1"/>
  <c r="O927" i="1"/>
  <c r="N927" i="1"/>
  <c r="O562" i="1"/>
  <c r="N562" i="1"/>
  <c r="H730" i="1"/>
  <c r="N663" i="1"/>
  <c r="O809" i="1"/>
  <c r="N809" i="1"/>
  <c r="N9" i="1"/>
  <c r="N29" i="1"/>
  <c r="N41" i="1"/>
  <c r="O15" i="1"/>
  <c r="N175" i="1"/>
  <c r="K311" i="1"/>
  <c r="O251" i="1"/>
  <c r="N251" i="1"/>
  <c r="O327" i="1"/>
  <c r="N327" i="1"/>
  <c r="J573" i="1"/>
  <c r="K573" i="1"/>
  <c r="O451" i="1"/>
  <c r="N451" i="1"/>
  <c r="H473" i="1"/>
  <c r="O579" i="1"/>
  <c r="N579" i="1"/>
  <c r="I609" i="1"/>
  <c r="I802" i="1"/>
  <c r="O878" i="1"/>
  <c r="L897" i="1"/>
  <c r="N56" i="1"/>
  <c r="N120" i="1"/>
  <c r="N219" i="1"/>
  <c r="N225" i="1"/>
  <c r="N230" i="1"/>
  <c r="N245" i="1"/>
  <c r="O275" i="1"/>
  <c r="O552" i="1"/>
  <c r="N552" i="1"/>
  <c r="O588" i="1"/>
  <c r="N588" i="1"/>
  <c r="O629" i="1"/>
  <c r="N629" i="1"/>
  <c r="O655" i="1"/>
  <c r="N655" i="1"/>
  <c r="O914" i="1"/>
  <c r="N914" i="1"/>
  <c r="L945" i="1"/>
  <c r="O219" i="1"/>
  <c r="O325" i="1"/>
  <c r="N325" i="1"/>
  <c r="O419" i="1"/>
  <c r="N419" i="1"/>
  <c r="I596" i="1"/>
  <c r="O663" i="1"/>
  <c r="O813" i="1"/>
  <c r="N813" i="1"/>
  <c r="K916" i="1"/>
  <c r="G945" i="1"/>
  <c r="N459" i="1"/>
  <c r="N477" i="1"/>
  <c r="N504" i="1"/>
  <c r="N555" i="1"/>
  <c r="N615" i="1"/>
  <c r="J618" i="1"/>
  <c r="N618" i="1" s="1"/>
  <c r="N658" i="1"/>
  <c r="N668" i="1"/>
  <c r="N688" i="1"/>
  <c r="N704" i="1"/>
  <c r="N708" i="1"/>
  <c r="O735" i="1"/>
  <c r="N744" i="1"/>
  <c r="N751" i="1"/>
  <c r="N817" i="1"/>
  <c r="N834" i="1"/>
  <c r="O462" i="1"/>
  <c r="N637" i="1"/>
  <c r="N692" i="1"/>
  <c r="N843" i="1"/>
  <c r="O860" i="1"/>
  <c r="N869" i="1"/>
  <c r="N891" i="1"/>
  <c r="N895" i="1"/>
  <c r="N919" i="1"/>
  <c r="N255" i="1"/>
  <c r="J315" i="1"/>
  <c r="N315" i="1" s="1"/>
  <c r="N319" i="1"/>
  <c r="N353" i="1"/>
  <c r="N405" i="1"/>
  <c r="N448" i="1"/>
  <c r="N501" i="1"/>
  <c r="N513" i="1"/>
  <c r="N546" i="1"/>
  <c r="N581" i="1"/>
  <c r="N585" i="1"/>
  <c r="N605" i="1"/>
  <c r="J609" i="1"/>
  <c r="O609" i="1" s="1"/>
  <c r="N613" i="1"/>
  <c r="N640" i="1"/>
  <c r="N652" i="1"/>
  <c r="N670" i="1"/>
  <c r="N737" i="1"/>
  <c r="N753" i="1"/>
  <c r="N787" i="1"/>
  <c r="N806" i="1"/>
  <c r="N824" i="1"/>
  <c r="N828" i="1"/>
  <c r="N836" i="1"/>
  <c r="N842" i="1"/>
  <c r="N846" i="1"/>
  <c r="N872" i="1"/>
  <c r="N875" i="1"/>
  <c r="N894" i="1"/>
  <c r="N901" i="1"/>
  <c r="J944" i="1"/>
  <c r="N324" i="1"/>
  <c r="N329" i="1"/>
  <c r="N334" i="1"/>
  <c r="N338" i="1"/>
  <c r="N376" i="1"/>
  <c r="N390" i="1"/>
  <c r="N402" i="1"/>
  <c r="N414" i="1"/>
  <c r="N418" i="1"/>
  <c r="N426" i="1"/>
  <c r="N438" i="1"/>
  <c r="N495" i="1"/>
  <c r="O623" i="1"/>
  <c r="N634" i="1"/>
  <c r="N799" i="1"/>
  <c r="O901" i="1"/>
  <c r="N361" i="1"/>
  <c r="N385" i="1"/>
  <c r="N411" i="1"/>
  <c r="N647" i="1"/>
  <c r="N865" i="1"/>
  <c r="N887" i="1"/>
  <c r="N447" i="1"/>
  <c r="N596" i="1"/>
  <c r="N805" i="1"/>
  <c r="N845" i="1"/>
  <c r="N854" i="1"/>
  <c r="N871" i="1"/>
  <c r="N874" i="1"/>
  <c r="O618" i="1" l="1"/>
  <c r="O897" i="1"/>
  <c r="H945" i="1"/>
  <c r="H968" i="1" s="1"/>
  <c r="H970" i="1" s="1"/>
  <c r="O11" i="1"/>
  <c r="K624" i="1"/>
  <c r="O802" i="1"/>
  <c r="M945" i="1"/>
  <c r="M968" i="1" s="1"/>
  <c r="M970" i="1" s="1"/>
  <c r="O916" i="1"/>
  <c r="O50" i="1"/>
  <c r="N802" i="1"/>
  <c r="I945" i="1"/>
  <c r="J945" i="1"/>
  <c r="I624" i="1"/>
  <c r="E91" i="2"/>
  <c r="K90" i="2"/>
  <c r="O568" i="1"/>
  <c r="N568" i="1"/>
  <c r="O315" i="1"/>
  <c r="N944" i="1"/>
  <c r="O473" i="1"/>
  <c r="N473" i="1"/>
  <c r="O564" i="1"/>
  <c r="N564" i="1"/>
  <c r="J624" i="1"/>
  <c r="O311" i="1"/>
  <c r="N311" i="1"/>
  <c r="O944" i="1"/>
  <c r="O857" i="1"/>
  <c r="H573" i="1"/>
  <c r="K968" i="1"/>
  <c r="K970" i="1" s="1"/>
  <c r="K947" i="1"/>
  <c r="K949" i="1" s="1"/>
  <c r="L968" i="1"/>
  <c r="L970" i="1" s="1"/>
  <c r="L947" i="1"/>
  <c r="O444" i="1"/>
  <c r="N444" i="1"/>
  <c r="G947" i="1"/>
  <c r="G968" i="1"/>
  <c r="G970" i="1" s="1"/>
  <c r="N609" i="1"/>
  <c r="O730" i="1"/>
  <c r="N730" i="1"/>
  <c r="O216" i="1"/>
  <c r="J968" i="1"/>
  <c r="J970" i="1" s="1"/>
  <c r="J947" i="1"/>
  <c r="O945" i="1" l="1"/>
  <c r="M947" i="1"/>
  <c r="I947" i="1"/>
  <c r="N945" i="1"/>
  <c r="O573" i="1"/>
  <c r="N573" i="1"/>
  <c r="H624" i="1"/>
  <c r="O624" i="1" l="1"/>
  <c r="N624" i="1"/>
  <c r="H947" i="1"/>
  <c r="O947" i="1" l="1"/>
  <c r="N9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Debra A. Shackett</author>
    <author>tc={6D94989B-D587-41C2-948D-ED4C93188225}</author>
    <author>tc={7141D5D5-DA1B-4065-A8DC-7DCF5B32FE88}</author>
  </authors>
  <commentList>
    <comment ref="C239" authorId="0" shapeId="0" xr:uid="{67A478F2-DBB0-4E20-97AB-DA7F8949DE43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add $$$ for a new internet service line</t>
        </r>
      </text>
    </comment>
    <comment ref="C286" authorId="0" shapeId="0" xr:uid="{477027F7-39DD-4920-85EF-887F53E91FFC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1 goes to Nhome
</t>
        </r>
      </text>
    </comment>
    <comment ref="F304" authorId="0" shapeId="0" xr:uid="{585EA9FA-5329-42D8-BB8F-4F67C2BC4119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1/3 in Nursing Home
</t>
        </r>
      </text>
    </comment>
    <comment ref="G329" authorId="1" shapeId="0" xr:uid="{6D94989B-D587-41C2-948D-ED4C93188225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BE $3737</t>
      </text>
    </comment>
    <comment ref="I495" authorId="0" shapeId="0" xr:uid="{D76A7125-087A-4D49-A886-0BE236468C94}">
      <text>
        <r>
          <rPr>
            <b/>
            <sz val="9"/>
            <color indexed="81"/>
            <rFont val="Tahoma"/>
            <family val="2"/>
          </rPr>
          <t>Debra A. Shackett:</t>
        </r>
        <r>
          <rPr>
            <sz val="9"/>
            <color indexed="81"/>
            <rFont val="Tahoma"/>
            <family val="2"/>
          </rPr>
          <t xml:space="preserve">
$3900 locks</t>
        </r>
      </text>
    </comment>
    <comment ref="F782" authorId="0" shapeId="0" xr:uid="{024DD3AE-E672-4D90-B97F-DAACA04C09A7}">
      <text>
        <r>
          <rPr>
            <b/>
            <sz val="9"/>
            <color indexed="81"/>
            <rFont val="Tahoma"/>
            <charset val="1"/>
          </rPr>
          <t>Debra A. Shackett:</t>
        </r>
        <r>
          <rPr>
            <sz val="9"/>
            <color indexed="81"/>
            <rFont val="Tahoma"/>
            <charset val="1"/>
          </rPr>
          <t xml:space="preserve">
move to ARPA
</t>
        </r>
      </text>
    </comment>
    <comment ref="K948" authorId="2" shapeId="0" xr:uid="{7141D5D5-DA1B-4065-A8DC-7DCF5B32FE88}">
      <text>
        <t>[Threaded comment]
Your version of Excel allows you to read this threaded comment; however, any edits to it will get removed if the file is opened in a newer version of Excel. Learn more: https://go.microsoft.com/fwlink/?linkid=870924
Comment:
    Encumbered 2022</t>
      </text>
    </comment>
  </commentList>
</comments>
</file>

<file path=xl/sharedStrings.xml><?xml version="1.0" encoding="utf-8"?>
<sst xmlns="http://schemas.openxmlformats.org/spreadsheetml/2006/main" count="1069" uniqueCount="698">
  <si>
    <t>Review Dates:</t>
  </si>
  <si>
    <t>Detail</t>
  </si>
  <si>
    <t>#</t>
  </si>
  <si>
    <t>$</t>
  </si>
  <si>
    <t>Budget Review</t>
  </si>
  <si>
    <t>2024</t>
  </si>
  <si>
    <t>2023 Rev.</t>
  </si>
  <si>
    <t>% Change</t>
  </si>
  <si>
    <t>$ Change</t>
  </si>
  <si>
    <t>Units</t>
  </si>
  <si>
    <t>Each</t>
  </si>
  <si>
    <t>Subtotal</t>
  </si>
  <si>
    <t xml:space="preserve">Committee </t>
  </si>
  <si>
    <t>Comm Rec.</t>
  </si>
  <si>
    <t>Projection</t>
  </si>
  <si>
    <t>BUDGET</t>
  </si>
  <si>
    <t>ACTUALS</t>
  </si>
  <si>
    <t>23 vs 24</t>
  </si>
  <si>
    <t>COUNTY CONVENTION</t>
  </si>
  <si>
    <t xml:space="preserve">DELEGATE MEETING FEES         </t>
  </si>
  <si>
    <t xml:space="preserve">LEGAL SERVICES                </t>
  </si>
  <si>
    <t xml:space="preserve">MEETING NOTICES               </t>
  </si>
  <si>
    <t xml:space="preserve">TRAVEL                        </t>
  </si>
  <si>
    <t>TOTAL</t>
  </si>
  <si>
    <t xml:space="preserve">COUNTY CONVENTION </t>
  </si>
  <si>
    <t>COUNTY ATTORNEY</t>
  </si>
  <si>
    <t xml:space="preserve">WAGES - FULL TIME             </t>
  </si>
  <si>
    <t xml:space="preserve">WAGES - PART TIME             </t>
  </si>
  <si>
    <t xml:space="preserve">WAGES - ELECTED OFFICIALS     </t>
  </si>
  <si>
    <t xml:space="preserve">WAGES - OVERTIME              </t>
  </si>
  <si>
    <t xml:space="preserve">HEALTH OPT OFF                </t>
  </si>
  <si>
    <t xml:space="preserve">SICK TIME INCENTIVE           </t>
  </si>
  <si>
    <t xml:space="preserve">LONGEVITY AWARD               </t>
  </si>
  <si>
    <t xml:space="preserve">HEALTH INSURANCE              </t>
  </si>
  <si>
    <t>DENTAL INSURANCE</t>
  </si>
  <si>
    <t xml:space="preserve">PAYROLL TAX                   </t>
  </si>
  <si>
    <t xml:space="preserve">RETIREMENT                    </t>
  </si>
  <si>
    <t xml:space="preserve">UNEMPLOYMENT INSURANCE        </t>
  </si>
  <si>
    <t xml:space="preserve">WORKERS' COMPENSATION         </t>
  </si>
  <si>
    <t>DUES</t>
  </si>
  <si>
    <t xml:space="preserve">TELECOMMUNICATIONS            </t>
  </si>
  <si>
    <t xml:space="preserve">DATA STORAGE                  </t>
  </si>
  <si>
    <t>Cloud Based Data - Paperless</t>
  </si>
  <si>
    <t>Cloud Storage</t>
  </si>
  <si>
    <t xml:space="preserve">SOFTWARE SUPPORT              </t>
  </si>
  <si>
    <t>PBK</t>
  </si>
  <si>
    <t>Westlaw Subscription</t>
  </si>
  <si>
    <t>zoom subscription</t>
  </si>
  <si>
    <t xml:space="preserve">MEDICAL EXAMINER              </t>
  </si>
  <si>
    <t xml:space="preserve">WITNESS &amp; LEGAL EXPERTS       </t>
  </si>
  <si>
    <t xml:space="preserve">EQUIPMENT-REPAIRS &amp; MAINT     </t>
  </si>
  <si>
    <t xml:space="preserve">COPIER LEASE/MAINT            </t>
  </si>
  <si>
    <t xml:space="preserve">PROPERTY &amp; LIABILITY INS      </t>
  </si>
  <si>
    <t xml:space="preserve">PRINTING                      </t>
  </si>
  <si>
    <t xml:space="preserve">ADVERTISING                   </t>
  </si>
  <si>
    <t xml:space="preserve">PROFESSIONAL DEVELOPMENT      </t>
  </si>
  <si>
    <t xml:space="preserve">OFFICE SUPPLIES               </t>
  </si>
  <si>
    <t xml:space="preserve">POSTAGE                       </t>
  </si>
  <si>
    <t xml:space="preserve">BOOKS/JOURNALS/PERIODICALS    </t>
  </si>
  <si>
    <t xml:space="preserve">NEW EQUIPMENT                 </t>
  </si>
  <si>
    <t>1 chair</t>
  </si>
  <si>
    <t xml:space="preserve">COUNTY ATTORNEY </t>
  </si>
  <si>
    <t>COUNTY ADMINISTRATION</t>
  </si>
  <si>
    <t xml:space="preserve">HEALTH OPT OFF/DOWN               </t>
  </si>
  <si>
    <t xml:space="preserve">RETIREMENT NHRS               </t>
  </si>
  <si>
    <t xml:space="preserve">EMPLOYEE RECOGNITION          </t>
  </si>
  <si>
    <t>Employee Day</t>
  </si>
  <si>
    <t>Retirement &amp; Sympathy</t>
  </si>
  <si>
    <t>Longevity milestone gifts</t>
  </si>
  <si>
    <t xml:space="preserve">AUDITING SERVICES             </t>
  </si>
  <si>
    <t xml:space="preserve">Financial Audit  60/40 split NH -   </t>
  </si>
  <si>
    <t>$51500 Total</t>
  </si>
  <si>
    <t>Audit letters</t>
  </si>
  <si>
    <t>FirstLight phone</t>
  </si>
  <si>
    <t>Cell phone stipend $15/week for CA &amp; FD.</t>
  </si>
  <si>
    <t>SR fax</t>
  </si>
  <si>
    <t>Annual Reports</t>
  </si>
  <si>
    <t xml:space="preserve">DUES &amp; SUBSCRIPTIONS          </t>
  </si>
  <si>
    <t>NH Association of Counties</t>
  </si>
  <si>
    <t xml:space="preserve">National Association of Counties - </t>
  </si>
  <si>
    <t>Prescription drug program.</t>
  </si>
  <si>
    <t xml:space="preserve">SHRM - society for human resources </t>
  </si>
  <si>
    <t>managment</t>
  </si>
  <si>
    <t xml:space="preserve">ANHPEHRA - Association of NH Public </t>
  </si>
  <si>
    <t>Human Resources Administrators</t>
  </si>
  <si>
    <t>NH Municipal Association</t>
  </si>
  <si>
    <t xml:space="preserve">MEETING RECORDING             </t>
  </si>
  <si>
    <t>Primex Conference</t>
  </si>
  <si>
    <t>NHAC Conference</t>
  </si>
  <si>
    <t>SHRM Virtual Conference/Training</t>
  </si>
  <si>
    <t xml:space="preserve">COUNTY ADMINISTRATION </t>
  </si>
  <si>
    <t>INFORMATION TECHNOLOGY</t>
  </si>
  <si>
    <t>Total F/T Wage</t>
  </si>
  <si>
    <t xml:space="preserve">40% Nursing Home </t>
  </si>
  <si>
    <t>HEALTH OPT OFF/DOWN</t>
  </si>
  <si>
    <t xml:space="preserve">Total </t>
  </si>
  <si>
    <t>PAYROLL TAX</t>
  </si>
  <si>
    <t>TELECOMMUNICATIONS</t>
  </si>
  <si>
    <t xml:space="preserve">CONTRACTED I/T SERVICES       </t>
  </si>
  <si>
    <t>Zoom</t>
  </si>
  <si>
    <t>Adobe - Cloud</t>
  </si>
  <si>
    <t>Survey Monkey</t>
  </si>
  <si>
    <t>ACCOUNTING SYSTEM</t>
  </si>
  <si>
    <t>TIMEKEEPING SYSTEM</t>
  </si>
  <si>
    <t>MS OFFICE</t>
  </si>
  <si>
    <t>OFFSITE BACKUP</t>
  </si>
  <si>
    <t>PHONE SYSTEM MAINT</t>
  </si>
  <si>
    <t xml:space="preserve">I/T-SYSTEM UPGRADE/PROJECT    </t>
  </si>
  <si>
    <t>Replace 2 2017 servers</t>
  </si>
  <si>
    <t>Additional wireless access point</t>
  </si>
  <si>
    <t>Replace UPS</t>
  </si>
  <si>
    <t xml:space="preserve">RENEWALS &amp; HOSTING    </t>
  </si>
  <si>
    <t>60% DNS WEB FILTER</t>
  </si>
  <si>
    <t>Cisco Switch renewals</t>
  </si>
  <si>
    <t>SSL certificate for email</t>
  </si>
  <si>
    <t xml:space="preserve">Multi-Factor authentication for Office </t>
  </si>
  <si>
    <t>&amp; VPN</t>
  </si>
  <si>
    <t>Website hosting</t>
  </si>
  <si>
    <t xml:space="preserve">ELEC EQUIP-REPAIRS &amp; MAINT    </t>
  </si>
  <si>
    <t xml:space="preserve">INFORMATION TECHNOLOGY </t>
  </si>
  <si>
    <t>FINANCE OFFICE</t>
  </si>
  <si>
    <t xml:space="preserve">HEALTH OPT OFF/DOWN </t>
  </si>
  <si>
    <t xml:space="preserve">LONGEVITY                     </t>
  </si>
  <si>
    <t xml:space="preserve">BANK SERVICES                 </t>
  </si>
  <si>
    <t>Wire Transfers</t>
  </si>
  <si>
    <t xml:space="preserve">NHGFOA - GFOA Membership 3 EE's </t>
  </si>
  <si>
    <t>NHGFOA Conferences - GFOA Classes</t>
  </si>
  <si>
    <t>Air and Hotel - 2 employees Munis</t>
  </si>
  <si>
    <t xml:space="preserve">           </t>
  </si>
  <si>
    <t>Mileage to Primex (4x)</t>
  </si>
  <si>
    <t xml:space="preserve"> NHGFOA Conf. (1x)</t>
  </si>
  <si>
    <t>Envelopes/check stock/W2</t>
  </si>
  <si>
    <t xml:space="preserve">forms/Paper - </t>
  </si>
  <si>
    <t>$150 Meter Rental</t>
  </si>
  <si>
    <t>TAN Doc Delivery</t>
  </si>
  <si>
    <t>12 Months Postage</t>
  </si>
  <si>
    <t xml:space="preserve">FINANCE OFFICE </t>
  </si>
  <si>
    <t>REGISTRY OF DEEDS</t>
  </si>
  <si>
    <t xml:space="preserve">OPT OFF/DOWN INCENTIVE      </t>
  </si>
  <si>
    <t>phone</t>
  </si>
  <si>
    <t xml:space="preserve">INDEX/INTERNET SERVICES       </t>
  </si>
  <si>
    <t>Indexing</t>
  </si>
  <si>
    <t>Internet contract</t>
  </si>
  <si>
    <t>City of Keene</t>
  </si>
  <si>
    <t xml:space="preserve">FILE/DATA RESTORATION         </t>
  </si>
  <si>
    <t>2 book restoration</t>
  </si>
  <si>
    <t xml:space="preserve">MICROFILM                     </t>
  </si>
  <si>
    <t xml:space="preserve">copier Lease &amp; maintenance fee - toner </t>
  </si>
  <si>
    <t xml:space="preserve">EQUIPMENT RENTALS             </t>
  </si>
  <si>
    <t>Hardware lease contract</t>
  </si>
  <si>
    <t>printing - NHCI</t>
  </si>
  <si>
    <t>NH Register of Deeds Association</t>
  </si>
  <si>
    <t>PRIA</t>
  </si>
  <si>
    <t xml:space="preserve">GENERAL OPERATING SUPPLIES    </t>
  </si>
  <si>
    <t xml:space="preserve">REGISTRY OF DEEDS </t>
  </si>
  <si>
    <t>COUNTY MAINTENANCE</t>
  </si>
  <si>
    <t xml:space="preserve">CLEANING SERVICES             </t>
  </si>
  <si>
    <t>TRASH DISPOSAL/RECYCLING</t>
  </si>
  <si>
    <t xml:space="preserve">Trash and recycling services at the </t>
  </si>
  <si>
    <t>Courthouse.</t>
  </si>
  <si>
    <t>Trips to Laconia Transfer Station.</t>
  </si>
  <si>
    <t>Maintenance land line telephones.</t>
  </si>
  <si>
    <t>Cell phone stipend (X4)</t>
  </si>
  <si>
    <t xml:space="preserve">INTERNET SERVICE              </t>
  </si>
  <si>
    <t>Data/internet access for the Courthouse.</t>
  </si>
  <si>
    <t>Data/internet access for Complex</t>
  </si>
  <si>
    <t xml:space="preserve">100 mbps line for Sheriff </t>
  </si>
  <si>
    <t xml:space="preserve">CONTRACTED SERVICES           </t>
  </si>
  <si>
    <t xml:space="preserve">CUSTODIAL SUPPLIES            </t>
  </si>
  <si>
    <t xml:space="preserve">ELECTRICITY                   </t>
  </si>
  <si>
    <t xml:space="preserve">HEATING FUEL                  </t>
  </si>
  <si>
    <t>Natural gas and oil heating fuels</t>
  </si>
  <si>
    <t xml:space="preserve">WATER &amp; SEWER                 </t>
  </si>
  <si>
    <t>This is phase two of a 16.5% rate</t>
  </si>
  <si>
    <t>increase by the City of Laconia.</t>
  </si>
  <si>
    <t xml:space="preserve">COUNTY COMPLEX REPAIR/MAINT.  </t>
  </si>
  <si>
    <t>Maintenance projects</t>
  </si>
  <si>
    <t xml:space="preserve">Emergency after hours service calls for </t>
  </si>
  <si>
    <t>sewer back-ups and sewer over-flows.</t>
  </si>
  <si>
    <t xml:space="preserve">COURTHOUSE REPAIRS/MAINT.     </t>
  </si>
  <si>
    <t>PEST CONTROL SERVICES</t>
  </si>
  <si>
    <t>JAIL LOCK MAINTENANCE</t>
  </si>
  <si>
    <t>Hardware repairs, service calls</t>
  </si>
  <si>
    <t>Rebuild oldest locks</t>
  </si>
  <si>
    <t>SAFETY SYSTEMS MAINT.</t>
  </si>
  <si>
    <t>Quarterly elevator inspections.</t>
  </si>
  <si>
    <t>Elevator service calls for repairs.</t>
  </si>
  <si>
    <t>Sprinkler system system inspections and repair</t>
  </si>
  <si>
    <t xml:space="preserve">FM200 fire suppression testing for </t>
  </si>
  <si>
    <t xml:space="preserve">Fire extinguisher inspections </t>
  </si>
  <si>
    <t>Generator maintenance at Jail</t>
  </si>
  <si>
    <t xml:space="preserve">Annual monitoring fees for fire alarm </t>
  </si>
  <si>
    <t xml:space="preserve">GROUNDS &amp; LANDSCAPING         </t>
  </si>
  <si>
    <t>Ice control salt</t>
  </si>
  <si>
    <t>landscape materials, perennials</t>
  </si>
  <si>
    <t xml:space="preserve">Consumable building supplies </t>
  </si>
  <si>
    <t xml:space="preserve">Custodial supplies </t>
  </si>
  <si>
    <t xml:space="preserve">TRAINING                      </t>
  </si>
  <si>
    <t xml:space="preserve">UNIFORMS                      </t>
  </si>
  <si>
    <t>Safety PPE, shirts for 4</t>
  </si>
  <si>
    <t xml:space="preserve">GASOLINE/DIESEL FUEL          </t>
  </si>
  <si>
    <t>Fuel for plow trucks &amp; mowers</t>
  </si>
  <si>
    <t>Fuel for generators</t>
  </si>
  <si>
    <t xml:space="preserve">VEHICLE MAINT &amp; REPAIR        </t>
  </si>
  <si>
    <t>For trucks &amp; snowblowers</t>
  </si>
  <si>
    <t>Backpack vacuums.  2 for courthouse.</t>
  </si>
  <si>
    <t>New hard surface floor scrubber for courthouse</t>
  </si>
  <si>
    <t xml:space="preserve">Carpet extractor </t>
  </si>
  <si>
    <t>25 new mortise powered locks for the DOC</t>
  </si>
  <si>
    <t xml:space="preserve">BUILDING IMPROVEMENTS         </t>
  </si>
  <si>
    <t>Replace exterior doors (4) at DOC</t>
  </si>
  <si>
    <t xml:space="preserve"> Rusted and rotted beyond repair.</t>
  </si>
  <si>
    <t>Security risk.</t>
  </si>
  <si>
    <t>Ongoing  masonry repairs at Courthouse</t>
  </si>
  <si>
    <t>Carpet in Sheriff's Dept.</t>
  </si>
  <si>
    <t xml:space="preserve">Carpet at Courthouse - Probation &amp; </t>
  </si>
  <si>
    <t>Parole and Restorative Justice</t>
  </si>
  <si>
    <t xml:space="preserve">Catwalk for Generator.  Safety catwalk </t>
  </si>
  <si>
    <t>to access the generator for inspections</t>
  </si>
  <si>
    <r>
      <t xml:space="preserve">and service - </t>
    </r>
    <r>
      <rPr>
        <b/>
        <sz val="12"/>
        <color theme="1"/>
        <rFont val="Calibri"/>
        <family val="2"/>
        <scheme val="minor"/>
      </rPr>
      <t>50% in Nursing Home</t>
    </r>
  </si>
  <si>
    <t>Flooring at Jail - 2 offices &amp; kitchenette</t>
  </si>
  <si>
    <t xml:space="preserve">Victaulic couplers on the Courthouse </t>
  </si>
  <si>
    <t>heating loop are leaking in numerous</t>
  </si>
  <si>
    <t>locations causing water damage to</t>
  </si>
  <si>
    <t xml:space="preserve">OTHER IMPROVEMENTS            </t>
  </si>
  <si>
    <t xml:space="preserve">AES long range mesh network radios to </t>
  </si>
  <si>
    <t>replace the fire alarm master boxes at</t>
  </si>
  <si>
    <t>the Courthouse - Required by City</t>
  </si>
  <si>
    <t xml:space="preserve">Vinyl side &amp; replace door on Sheriff's </t>
  </si>
  <si>
    <t>Department Communications Shed.</t>
  </si>
  <si>
    <t>Repair main entry of courthouse. Remove</t>
  </si>
  <si>
    <t xml:space="preserve"> regrade walkway and lower stairs. ADA</t>
  </si>
  <si>
    <t xml:space="preserve">COUNTY MAINTENANCE </t>
  </si>
  <si>
    <t>UNANTICIPATED EXP.</t>
  </si>
  <si>
    <t xml:space="preserve">UNANTICIPATED EXP </t>
  </si>
  <si>
    <t>UNANTICIPATED EXPENDITURES</t>
  </si>
  <si>
    <t>SHERIFF'S DEPARTMENT</t>
  </si>
  <si>
    <t xml:space="preserve">WAGES -FULL TIME              </t>
  </si>
  <si>
    <t xml:space="preserve">WAGES - F/T - DISPATCHERS     </t>
  </si>
  <si>
    <t xml:space="preserve">WAGES -PART TIME              </t>
  </si>
  <si>
    <t xml:space="preserve">WAGES - P/T - DISPATCHERS     </t>
  </si>
  <si>
    <t xml:space="preserve">WAGES - P/T - COURT SECURITY  </t>
  </si>
  <si>
    <t xml:space="preserve">WAGES - OUTSIDE DETAIL        </t>
  </si>
  <si>
    <t xml:space="preserve">WAGES - GRANT OT              </t>
  </si>
  <si>
    <t xml:space="preserve">WAGES - O/T - DISPATCHERS     </t>
  </si>
  <si>
    <t xml:space="preserve">HEALTH OPT OFF INCENTIVE      </t>
  </si>
  <si>
    <t xml:space="preserve">BANK CREDIT CARD SERVICES     </t>
  </si>
  <si>
    <t xml:space="preserve">Cell phones - deputy cell phones and </t>
  </si>
  <si>
    <t>(1) jail use phone</t>
  </si>
  <si>
    <t>First Light Phone Bill</t>
  </si>
  <si>
    <t>(10) Mobile Data Terminal Access @39.</t>
  </si>
  <si>
    <t>99ea./ mth. expanded from 3 to 10</t>
  </si>
  <si>
    <t>access points.</t>
  </si>
  <si>
    <t>NCIC/SPOTS VPN and Connection NHSP</t>
  </si>
  <si>
    <t>This is an increase $14,000</t>
  </si>
  <si>
    <t>Optic Lines to all tower tops for radio</t>
  </si>
  <si>
    <t>communications towers. This Detail</t>
  </si>
  <si>
    <t>These services provide connectivity to</t>
  </si>
  <si>
    <t>all of the County Radio resources. This</t>
  </si>
  <si>
    <t>connection is not an optional service</t>
  </si>
  <si>
    <t xml:space="preserve">CABLE SERVICE                 </t>
  </si>
  <si>
    <t xml:space="preserve">TASER Subscription (16) Tasers and all </t>
  </si>
  <si>
    <t>equip/training associated. (5) year</t>
  </si>
  <si>
    <t>agreement $11</t>
  </si>
  <si>
    <t>IMC RMS/CAD Annual Service Fee</t>
  </si>
  <si>
    <t>CASPER</t>
  </si>
  <si>
    <t>Backup new separate network</t>
  </si>
  <si>
    <t xml:space="preserve">SPECIAL OPERATIONS TEAM       </t>
  </si>
  <si>
    <t>Pistol and Rifle Ammo</t>
  </si>
  <si>
    <t>annual dues - first net</t>
  </si>
  <si>
    <t>Specific to Special Ops Team</t>
  </si>
  <si>
    <t>Vehicle Maintenance/Upgrades</t>
  </si>
  <si>
    <t>Anti Riot/Gas replacement</t>
  </si>
  <si>
    <t xml:space="preserve">COMMUNICATION EQUIP R &amp; M     </t>
  </si>
  <si>
    <t xml:space="preserve">Reduced by $5000 based on new radio </t>
  </si>
  <si>
    <t>system. Remaining funding will be</t>
  </si>
  <si>
    <t>continued support for Comm Room A/C</t>
  </si>
  <si>
    <t xml:space="preserve">Incidental communication tower </t>
  </si>
  <si>
    <t>maintenance costs</t>
  </si>
  <si>
    <t>2 Way Communications Inc</t>
  </si>
  <si>
    <t>maintenance agreement. Also used for</t>
  </si>
  <si>
    <t>mobile radio repairs outside of</t>
  </si>
  <si>
    <t>Tower Rental Fees</t>
  </si>
  <si>
    <t>Prospect Mountain Tower Rental</t>
  </si>
  <si>
    <t>Pinnacle Hill Tower Rental</t>
  </si>
  <si>
    <t>Liberty Hill Tower Rental</t>
  </si>
  <si>
    <t>Belknap Mountain Tower Rental - DRED</t>
  </si>
  <si>
    <t>Gilman Hill tower Rental - SBA increase</t>
  </si>
  <si>
    <t>Hemlock Hill Bridgewater</t>
  </si>
  <si>
    <t xml:space="preserve">REGISTRY OF DEEDS             </t>
  </si>
  <si>
    <t xml:space="preserve">For any filing fees required by law </t>
  </si>
  <si>
    <t xml:space="preserve">GRANT PROGRAMS                </t>
  </si>
  <si>
    <t>New letterhead</t>
  </si>
  <si>
    <t>IACP.net</t>
  </si>
  <si>
    <t>NESPIN</t>
  </si>
  <si>
    <t>FBI LEEDA</t>
  </si>
  <si>
    <t>IACP</t>
  </si>
  <si>
    <t>NH Sheriffs Assoc.</t>
  </si>
  <si>
    <t xml:space="preserve">ROTARY - one employee (admin) is a </t>
  </si>
  <si>
    <t>member and receives training related to</t>
  </si>
  <si>
    <t>work product as well as community</t>
  </si>
  <si>
    <t>NH CHIEFS ASSOCIATION</t>
  </si>
  <si>
    <t xml:space="preserve">Continued education for (36) sworn </t>
  </si>
  <si>
    <t xml:space="preserve">deputies/bailiffs and (2) Admin Staff. </t>
  </si>
  <si>
    <t xml:space="preserve">UNIFORM ALLOWANCE             </t>
  </si>
  <si>
    <t>Contractual obligation</t>
  </si>
  <si>
    <t>Continued uniform maintenance for personnel</t>
  </si>
  <si>
    <t>Average cost for uniformed shirt and pants = $300</t>
  </si>
  <si>
    <t xml:space="preserve">INVESTIGATION SUPPLIES        </t>
  </si>
  <si>
    <t xml:space="preserve">SAFETY/AMMUNITION SUPPLIES    </t>
  </si>
  <si>
    <t>Range Supplies (Targets, Staples, Target bases, adhesive spray, backers), Ammo (rifle, pistol both duty and training), tourniquets w/cases, holsters and OC spray.</t>
  </si>
  <si>
    <t>Travel</t>
  </si>
  <si>
    <t xml:space="preserve">EXTRADITION          </t>
  </si>
  <si>
    <t>multiple currently pending</t>
  </si>
  <si>
    <t xml:space="preserve">PUBLIC RELATIONS              </t>
  </si>
  <si>
    <t xml:space="preserve">level funded from last years budget due </t>
  </si>
  <si>
    <t>to renewed fleet (provided the 2</t>
  </si>
  <si>
    <t>cruiser request is filled). Still need to keep fleet running.</t>
  </si>
  <si>
    <t>NH Criminal and Motor Vehicle Books</t>
  </si>
  <si>
    <t>DESKS AND CHAIRS</t>
  </si>
  <si>
    <t xml:space="preserve">Ballistic Vests outer carriers with </t>
  </si>
  <si>
    <t>plates. These are vests in addition to</t>
  </si>
  <si>
    <t>the under shirt BPV.</t>
  </si>
  <si>
    <t>Handgun Replacements with optics</t>
  </si>
  <si>
    <t>Stop Sticks</t>
  </si>
  <si>
    <t>Dispatch Phone Replacement/upgrade</t>
  </si>
  <si>
    <t>IT Equipment</t>
  </si>
  <si>
    <t xml:space="preserve">EXACOM is the telephone and radio </t>
  </si>
  <si>
    <t>recording system- system is end of life</t>
  </si>
  <si>
    <t>and due for replacement by end of 2024</t>
  </si>
  <si>
    <t xml:space="preserve">VEHICLES / VEHICLE LEASE      </t>
  </si>
  <si>
    <t>Payment 2 of 3 2022 Cruiser</t>
  </si>
  <si>
    <t>payment #3 of 3 for 2022 Cruiser</t>
  </si>
  <si>
    <t xml:space="preserve">2 new cruiser - replacements for 2015  </t>
  </si>
  <si>
    <t>cars. This is a (3) yr lease program</t>
  </si>
  <si>
    <t>fully upfitted cruisers</t>
  </si>
  <si>
    <t xml:space="preserve">SHERIFF'S DEPARTMENT </t>
  </si>
  <si>
    <t>CORRECTIONS DEPARTMENT</t>
  </si>
  <si>
    <t>Employee Recognition Ceremonies</t>
  </si>
  <si>
    <t>Improve morale and recognize exemplary work</t>
  </si>
  <si>
    <t xml:space="preserve">CORE PROGRAM SERVICES         </t>
  </si>
  <si>
    <t>2 Clinicians</t>
  </si>
  <si>
    <t>Year 2 of 3 year contract with Horizons</t>
  </si>
  <si>
    <t xml:space="preserve">MENTAL HEALTH SVS             </t>
  </si>
  <si>
    <t xml:space="preserve">Lakes Region Mental Health Center </t>
  </si>
  <si>
    <t>screens inmates held pending admittance</t>
  </si>
  <si>
    <t>to NH Hospital for Involuntary</t>
  </si>
  <si>
    <t xml:space="preserve">CHAPLAIN SERVICES             </t>
  </si>
  <si>
    <t>Religious and grief counseling</t>
  </si>
  <si>
    <t xml:space="preserve">BARBER SERVICES               </t>
  </si>
  <si>
    <t xml:space="preserve">CONTRACTED NURSING SVS        </t>
  </si>
  <si>
    <t>Phone service</t>
  </si>
  <si>
    <t>Cell phones (CCC &amp; Pretrial)</t>
  </si>
  <si>
    <t>1 stipend for Superintendent</t>
  </si>
  <si>
    <t xml:space="preserve">CABLE  SERVICES               </t>
  </si>
  <si>
    <t>PreTrial Services Case Mgmt software</t>
  </si>
  <si>
    <t xml:space="preserve">MEDICAL SERVICES/SUPPLIES     </t>
  </si>
  <si>
    <t xml:space="preserve">CONTRACTED MEDICAL SVS        </t>
  </si>
  <si>
    <t>PrimeCare Contract 3% in July</t>
  </si>
  <si>
    <t>Catastrophic CAP Excess</t>
  </si>
  <si>
    <t xml:space="preserve">MAT CLINICAL SVS              </t>
  </si>
  <si>
    <t xml:space="preserve">TEMPORARY INMATE HOUSING      </t>
  </si>
  <si>
    <t xml:space="preserve">Payment to another correctional </t>
  </si>
  <si>
    <t>facility for caring for a BCDOC inmate</t>
  </si>
  <si>
    <t>due to medical or security.</t>
  </si>
  <si>
    <t xml:space="preserve">LAUNDRY SERVICES              </t>
  </si>
  <si>
    <t xml:space="preserve">DIETARY SERVICES              </t>
  </si>
  <si>
    <t>Based upon ADP of 70. 2.83 per meal</t>
  </si>
  <si>
    <t xml:space="preserve">Additional items for medical needs.  </t>
  </si>
  <si>
    <t>Staff coffee &amp; volunteer trainings, etc.</t>
  </si>
  <si>
    <t>Radio Batteries</t>
  </si>
  <si>
    <t>Blood Alcohol Content/Tazer</t>
  </si>
  <si>
    <t>surveillance equipment &amp; cameras, etc.</t>
  </si>
  <si>
    <t>After hours IT repairs</t>
  </si>
  <si>
    <t>NHAC Annual Dues and Jail Assessment</t>
  </si>
  <si>
    <t>Needed to certify new CO's and</t>
  </si>
  <si>
    <t>recertify current CO's in accordance</t>
  </si>
  <si>
    <t>with Group II State Retirement System</t>
  </si>
  <si>
    <t>ACA annual membership</t>
  </si>
  <si>
    <t xml:space="preserve">National Association of Pretrial </t>
  </si>
  <si>
    <t>Services Agencies annual membership</t>
  </si>
  <si>
    <t xml:space="preserve">CORE SUPPLIES                 </t>
  </si>
  <si>
    <t xml:space="preserve">PROGRAM COSTS                 </t>
  </si>
  <si>
    <t>HiSet Materials and Testing</t>
  </si>
  <si>
    <t>Program Curriculum and Supplies</t>
  </si>
  <si>
    <t>Parenting Classes- 4 Sessions</t>
  </si>
  <si>
    <t>Work Release Expenses</t>
  </si>
  <si>
    <t>Lead Paint Removal Certification</t>
  </si>
  <si>
    <t>Prime for Life - Reentry Skills</t>
  </si>
  <si>
    <t xml:space="preserve">CONTRACTED PHYSICIAN SERVICE  </t>
  </si>
  <si>
    <t xml:space="preserve">Urine screen devices </t>
  </si>
  <si>
    <t>Housekeeping supplies</t>
  </si>
  <si>
    <t>Medical Evaluation and Drug Testing for new hires</t>
  </si>
  <si>
    <t>Intoximeter mouthpieces &amp; calibration device</t>
  </si>
  <si>
    <t xml:space="preserve">Employee Recruitment Costs: </t>
  </si>
  <si>
    <t>Advertisements</t>
  </si>
  <si>
    <t>materials</t>
  </si>
  <si>
    <t>Insurance for 3 EMB devices</t>
  </si>
  <si>
    <t xml:space="preserve">Corrections Academy Tuition and Meals </t>
  </si>
  <si>
    <t>NHAC County Conference</t>
  </si>
  <si>
    <t>National Jail Leadership Command Academy</t>
  </si>
  <si>
    <t>Pretrial Services Training and Testing</t>
  </si>
  <si>
    <t>AJA National Conference</t>
  </si>
  <si>
    <t>Bi-annual CPR Certification</t>
  </si>
  <si>
    <t>Taser Instructor Course and recertification</t>
  </si>
  <si>
    <t>Addiction Studies Training for  CO Irving</t>
  </si>
  <si>
    <t>East Coast Gang Conference</t>
  </si>
  <si>
    <t>General Training Registrations</t>
  </si>
  <si>
    <t>FBI LEEDA Course</t>
  </si>
  <si>
    <t>OC Spray</t>
  </si>
  <si>
    <t>Taser Supplies</t>
  </si>
  <si>
    <t>Travel Reimbursements</t>
  </si>
  <si>
    <t>Staff regularly use their own vehicles</t>
  </si>
  <si>
    <t>to attend meetings and training events.</t>
  </si>
  <si>
    <t>Travel Costs Related to Trainings</t>
  </si>
  <si>
    <t>Postage Meter Rental</t>
  </si>
  <si>
    <t>Postage Meter Ink Cartridges</t>
  </si>
  <si>
    <t xml:space="preserve">INMATE SUPPLIES               </t>
  </si>
  <si>
    <t>Inmate uniforms</t>
  </si>
  <si>
    <t>Toiletries, towels, shower matts</t>
  </si>
  <si>
    <t>Recreation equipment</t>
  </si>
  <si>
    <t>Suicide resistant smocks</t>
  </si>
  <si>
    <t>mattresses</t>
  </si>
  <si>
    <t xml:space="preserve">GARDEN PROGRAM-SUPPLY         </t>
  </si>
  <si>
    <t>Inmate Law Library</t>
  </si>
  <si>
    <t>Correctional Law Reporter Annual Subscription</t>
  </si>
  <si>
    <t xml:space="preserve">Reports on current legal issues </t>
  </si>
  <si>
    <t>Portable radios</t>
  </si>
  <si>
    <t>Inmate Food Trays</t>
  </si>
  <si>
    <t>Restraint Devices (Handcuffs, Belts)</t>
  </si>
  <si>
    <t>Office Chairs</t>
  </si>
  <si>
    <t xml:space="preserve">CORRECTIONS DEPARTMENT </t>
  </si>
  <si>
    <t>RESTORATIVE JUSTICE</t>
  </si>
  <si>
    <t>fax machine</t>
  </si>
  <si>
    <t>phone bill</t>
  </si>
  <si>
    <t>cell phone stipend</t>
  </si>
  <si>
    <t xml:space="preserve">DRUG SCREENING SUPPLIES       </t>
  </si>
  <si>
    <t xml:space="preserve">This line covers costs of both urine </t>
  </si>
  <si>
    <t>cups and saliva screens for drug testing</t>
  </si>
  <si>
    <t>14235</t>
  </si>
  <si>
    <t>TRAVEL</t>
  </si>
  <si>
    <t xml:space="preserve">RESTORATIVE JUSTICE </t>
  </si>
  <si>
    <t>HEALTH &amp; HUMAN SERVICES</t>
  </si>
  <si>
    <t xml:space="preserve">DHHS-NURSING HOME CARE        </t>
  </si>
  <si>
    <t>DHHS CAP 3.5% increase 7/1/24</t>
  </si>
  <si>
    <t>IDN</t>
  </si>
  <si>
    <t xml:space="preserve">HEALTH &amp; HUMAN SERVICE </t>
  </si>
  <si>
    <t xml:space="preserve">UNH CO-OP EXTENSION           </t>
  </si>
  <si>
    <t xml:space="preserve">B.C. CONSERVATION DISTRICT    </t>
  </si>
  <si>
    <t xml:space="preserve">LR MENTAL HEALTH CTR          </t>
  </si>
  <si>
    <t xml:space="preserve">COMMUNTIY ACTION PROGRAM      </t>
  </si>
  <si>
    <t>CASA</t>
  </si>
  <si>
    <t xml:space="preserve">OUTSIDE AGENCIES </t>
  </si>
  <si>
    <t>DEBT SERVICE</t>
  </si>
  <si>
    <t xml:space="preserve">PROFESSIONAL SERVICES         </t>
  </si>
  <si>
    <t xml:space="preserve">DEBT SERVICE - PRINCIPAL      </t>
  </si>
  <si>
    <t>Principal on CCC Bond- 95.3%</t>
  </si>
  <si>
    <t xml:space="preserve">DEBT SERVICE - INTEREST       </t>
  </si>
  <si>
    <t>Interest on CCC Bond - 95.3%</t>
  </si>
  <si>
    <t>Int. on TAN - $8M, 5.5%, 9 months (60%)</t>
  </si>
  <si>
    <t xml:space="preserve">DEBT SERVICE </t>
  </si>
  <si>
    <t>CAPITAL PROJECTS / IMPROVEMENT</t>
  </si>
  <si>
    <t xml:space="preserve">CAPITAL PROJECTS/EXPENDITURES </t>
  </si>
  <si>
    <t>Countywide asphalt repairs &amp; line striping</t>
  </si>
  <si>
    <t xml:space="preserve">CAPITAL PROJECTS / IMP </t>
  </si>
  <si>
    <t xml:space="preserve">GENERAL FUND </t>
  </si>
  <si>
    <t>NURSING HOME</t>
  </si>
  <si>
    <t>NH - DEBT SERVICE</t>
  </si>
  <si>
    <t>Principal on roof bond 4.7%</t>
  </si>
  <si>
    <t>Interest on roof bond 4.7%</t>
  </si>
  <si>
    <t>Int. on TAN - 40%</t>
  </si>
  <si>
    <t xml:space="preserve">NH - DEBT SERVICE </t>
  </si>
  <si>
    <t>NH - ADMINISTRATION</t>
  </si>
  <si>
    <t>F/T Wages</t>
  </si>
  <si>
    <t xml:space="preserve">40% of IT Coodinator </t>
  </si>
  <si>
    <t xml:space="preserve">NH </t>
  </si>
  <si>
    <t>40% IT Coordinator</t>
  </si>
  <si>
    <t xml:space="preserve">NH BED TAX-PROVIDER ASSESMENT </t>
  </si>
  <si>
    <t>40% Financial audit</t>
  </si>
  <si>
    <t>Medicaid cost report preparation</t>
  </si>
  <si>
    <t>Medicare cost report preparation</t>
  </si>
  <si>
    <t>Hot spots</t>
  </si>
  <si>
    <t>SR Fax service</t>
  </si>
  <si>
    <t>Cell phone stipends</t>
  </si>
  <si>
    <t>Trac phone minutes</t>
  </si>
  <si>
    <t xml:space="preserve">CONTRACTED I/T SERVICES      40% </t>
  </si>
  <si>
    <t>40% Munis 2024</t>
  </si>
  <si>
    <t xml:space="preserve">40% Kronos Software and Support </t>
  </si>
  <si>
    <t>Medicare Cost Report</t>
  </si>
  <si>
    <t>IN2L</t>
  </si>
  <si>
    <t>Fully Managed (Careworx kiosks)</t>
  </si>
  <si>
    <t xml:space="preserve">Point Click Care </t>
  </si>
  <si>
    <t>YEARLY CLAIM SHUTTLE ACCESS</t>
  </si>
  <si>
    <t xml:space="preserve">NetHealth/Pointright MDS Scrubber </t>
  </si>
  <si>
    <t>OnShift Scheduling and Wallet Software</t>
  </si>
  <si>
    <t xml:space="preserve">Secure Care System </t>
  </si>
  <si>
    <t>(wanderguard/elopement System)</t>
  </si>
  <si>
    <t>Zoom licensing for hosting</t>
  </si>
  <si>
    <t>Adobe- portion</t>
  </si>
  <si>
    <t>MICROSOFT OFFICE</t>
  </si>
  <si>
    <t xml:space="preserve">PBJ Software </t>
  </si>
  <si>
    <t xml:space="preserve">Tech Plan Secure Care Nurse Call System </t>
  </si>
  <si>
    <t>ESL Distributing LLC / Annual</t>
  </si>
  <si>
    <t>Replace 2 servers</t>
  </si>
  <si>
    <t>wireless access point</t>
  </si>
  <si>
    <t>UPS replacements</t>
  </si>
  <si>
    <t>I/T-RENEWALS &amp; HOSTING</t>
  </si>
  <si>
    <t>40% off site back up (Axcient)</t>
  </si>
  <si>
    <t>40% DNS WEB FILTER</t>
  </si>
  <si>
    <t>Cisco switch renewals</t>
  </si>
  <si>
    <t>Website Hosting</t>
  </si>
  <si>
    <t>DUO MFA</t>
  </si>
  <si>
    <t>40% Allworks Phone System Maintenance</t>
  </si>
  <si>
    <t xml:space="preserve">PRE-EMPLOYMENT SCREENING      </t>
  </si>
  <si>
    <t xml:space="preserve">Motor Vehicle </t>
  </si>
  <si>
    <t>Criminal background check</t>
  </si>
  <si>
    <t>Physical &amp; drug screen</t>
  </si>
  <si>
    <t>cables, connectors, keyboards, batteries</t>
  </si>
  <si>
    <t>ANNAC (MDS)</t>
  </si>
  <si>
    <t>SHRM (H.R.)</t>
  </si>
  <si>
    <t>AHEMI (Medical Records)</t>
  </si>
  <si>
    <t>NHSWANH (SS)</t>
  </si>
  <si>
    <t>Cemetery Plot Care</t>
  </si>
  <si>
    <t>Notary Renewals (3)</t>
  </si>
  <si>
    <t>CLIA Certificate (Lab)</t>
  </si>
  <si>
    <t>New Hampshire Assoc. of Counties (NHAC)</t>
  </si>
  <si>
    <t>National Assoc.of D.O.N. (NADONA)</t>
  </si>
  <si>
    <t>NH Infection Control EP (NHICEP)</t>
  </si>
  <si>
    <t>American College of Health Care Adm.</t>
  </si>
  <si>
    <t xml:space="preserve">Healthcare Academy </t>
  </si>
  <si>
    <t>CPR</t>
  </si>
  <si>
    <t>Primex Summit</t>
  </si>
  <si>
    <t>Offsite education</t>
  </si>
  <si>
    <t xml:space="preserve">COMPUTER EQUIPMENT            </t>
  </si>
  <si>
    <t xml:space="preserve">NH - ADMINISTRATION </t>
  </si>
  <si>
    <t>NH - MAINTENANCE</t>
  </si>
  <si>
    <t>Insurance</t>
  </si>
  <si>
    <t>HRA</t>
  </si>
  <si>
    <t>Waste Disposal/Recyling</t>
  </si>
  <si>
    <t>Recycling</t>
  </si>
  <si>
    <t>DATA DESTRUCTION</t>
  </si>
  <si>
    <t>STERICYCLE - INFECTIOUS WASTE</t>
  </si>
  <si>
    <t xml:space="preserve">CABLE SERVICES                </t>
  </si>
  <si>
    <t>15% increase</t>
  </si>
  <si>
    <t xml:space="preserve">MAINTENANCE &amp; REPAIRS         </t>
  </si>
  <si>
    <t>GENERAL  REPAIRS</t>
  </si>
  <si>
    <t>MEDICAL EQUIP CALIBRATION</t>
  </si>
  <si>
    <t>MASTER ALARM - CITY OF LACONIA</t>
  </si>
  <si>
    <t>BOILER TREATMENT</t>
  </si>
  <si>
    <t>LAUNDRY EXHAUST</t>
  </si>
  <si>
    <t>LAUNDRY OZONE</t>
  </si>
  <si>
    <t>BOILER CLEANING</t>
  </si>
  <si>
    <t>GENERATOR SVS JUNE - DEC</t>
  </si>
  <si>
    <t>BACKFLOW WATER TEST</t>
  </si>
  <si>
    <t>FIRE HYDRANT TEST</t>
  </si>
  <si>
    <t>SPRINKLER SYSTEM</t>
  </si>
  <si>
    <t>CHILLER - TRANE</t>
  </si>
  <si>
    <t>FIRE EXTINGUISHER (IMPACT FIRE)</t>
  </si>
  <si>
    <t>KITCHEN HOOD INSPECTION</t>
  </si>
  <si>
    <t>FIRE ALARM SYSTEM MAY-NOVEMBER</t>
  </si>
  <si>
    <t>MEDICAL GAS INSPECTION</t>
  </si>
  <si>
    <t>WATER FILTRATION MAINT - CHANGE RODS</t>
  </si>
  <si>
    <t xml:space="preserve">FIRE INSPECTION SERVER ROOM HILLER - </t>
  </si>
  <si>
    <t>WATER FILTRATION TESTING</t>
  </si>
  <si>
    <t>PEST SERVICES</t>
  </si>
  <si>
    <t xml:space="preserve">UNIFORM                       </t>
  </si>
  <si>
    <t>V-plow for truck</t>
  </si>
  <si>
    <t>Carpet Extractor</t>
  </si>
  <si>
    <t>CAPITAL PROJECTS</t>
  </si>
  <si>
    <t>Sprinkler system</t>
  </si>
  <si>
    <t>VAV boxes</t>
  </si>
  <si>
    <t xml:space="preserve">BUILDING IMPROVEMENTS      </t>
  </si>
  <si>
    <t>2 X Kitchenettes</t>
  </si>
  <si>
    <t xml:space="preserve">5 rooftop ventilation fans that have </t>
  </si>
  <si>
    <t>failed on the Nursing Home.</t>
  </si>
  <si>
    <t>3 Nursing Station Cabinets and counters</t>
  </si>
  <si>
    <t>2 Grease traps</t>
  </si>
  <si>
    <t>Carpet</t>
  </si>
  <si>
    <t xml:space="preserve"> </t>
  </si>
  <si>
    <t>Glyco feeder</t>
  </si>
  <si>
    <t>CONDENSER</t>
  </si>
  <si>
    <t>Staff Dev. Cabinets &amp; counters</t>
  </si>
  <si>
    <t xml:space="preserve">Catwalk for Generator </t>
  </si>
  <si>
    <t>Replace Fire Alarm Master Box</t>
  </si>
  <si>
    <t xml:space="preserve">FURNITURE &amp; FIXTURES          </t>
  </si>
  <si>
    <t>head &amp; foot boards, mattress</t>
  </si>
  <si>
    <t xml:space="preserve">NH - MAINTENANCE </t>
  </si>
  <si>
    <t>NH - REHABILITATION SERVICES</t>
  </si>
  <si>
    <t xml:space="preserve">NH - REHABILITATION SE </t>
  </si>
  <si>
    <t>NH - DIETARY DEPARTMENT</t>
  </si>
  <si>
    <t xml:space="preserve">CONTRACTED DIETARY SVS        </t>
  </si>
  <si>
    <t xml:space="preserve">DIETARY SUPPLEMENTS/SUPPLIES  </t>
  </si>
  <si>
    <t xml:space="preserve">MAINT &amp; REPAIR-DIET. EQUIP.   </t>
  </si>
  <si>
    <t xml:space="preserve">NH - DIETARY DEPARTMEN </t>
  </si>
  <si>
    <t>NH - NURSING DEPARTMENT</t>
  </si>
  <si>
    <t xml:space="preserve">WAGES - INCENTIVE PAY         </t>
  </si>
  <si>
    <t xml:space="preserve">WAGES - OFFICE                </t>
  </si>
  <si>
    <t xml:space="preserve">RECRUITMENT                   </t>
  </si>
  <si>
    <t>LNA/MLNA program</t>
  </si>
  <si>
    <t>Education Assistance Program</t>
  </si>
  <si>
    <t xml:space="preserve">SUPPLIES - OXYGEN             </t>
  </si>
  <si>
    <t xml:space="preserve">INTERDEPARTMENT ALLOCATATION  </t>
  </si>
  <si>
    <t xml:space="preserve">NH - NURSING DEPARTMEN </t>
  </si>
  <si>
    <t>NH - LAUNDRY</t>
  </si>
  <si>
    <t xml:space="preserve">SUPPLIES - BED LINEN          </t>
  </si>
  <si>
    <t>Credit from Corrections</t>
  </si>
  <si>
    <t xml:space="preserve">NH - LAUNDRY </t>
  </si>
  <si>
    <t>NH - HOUSEKEEPING DEPT</t>
  </si>
  <si>
    <t xml:space="preserve">NH - HOUSEKEEPING DEPT </t>
  </si>
  <si>
    <t>NH - PHYSICIANS, PHARMACY</t>
  </si>
  <si>
    <t>025180</t>
  </si>
  <si>
    <t>LABORATORY SVS</t>
  </si>
  <si>
    <t xml:space="preserve">PHYSICIANS                    </t>
  </si>
  <si>
    <t>Medical Director</t>
  </si>
  <si>
    <t>Health Drive- Podiatry, vision, audiology</t>
  </si>
  <si>
    <t xml:space="preserve">DRUG REVIEW                   </t>
  </si>
  <si>
    <t xml:space="preserve">MEDICINE                      </t>
  </si>
  <si>
    <t>Over the counter meds, stock</t>
  </si>
  <si>
    <t xml:space="preserve">DENTIST                       </t>
  </si>
  <si>
    <t>Dental</t>
  </si>
  <si>
    <t>Extraction, oral surgery, x-rays</t>
  </si>
  <si>
    <t>MEDICARE A REIMBURSABLE SERVIC</t>
  </si>
  <si>
    <t>Skilled nursing services</t>
  </si>
  <si>
    <t>MEDICARE B REIMBURSABLE SERVIC</t>
  </si>
  <si>
    <t>Therapy services</t>
  </si>
  <si>
    <t xml:space="preserve">AMBULANCE SERVICE             </t>
  </si>
  <si>
    <t xml:space="preserve">PANDEMIC TESTING              </t>
  </si>
  <si>
    <t xml:space="preserve">NH - PHYSICIANS, PHARM </t>
  </si>
  <si>
    <t>NH - ACTIVITIES DEPARTMENT</t>
  </si>
  <si>
    <t xml:space="preserve">ENTERTAINMENT                 </t>
  </si>
  <si>
    <t>in-house performers &amp; outside trips</t>
  </si>
  <si>
    <t>Arts &amp; crafts, books, magazines, etc.</t>
  </si>
  <si>
    <t xml:space="preserve">NH - ACTIVITIES DEPART </t>
  </si>
  <si>
    <t>NH - HAIRDRESSING</t>
  </si>
  <si>
    <t xml:space="preserve">NH - HAIRDRESSING </t>
  </si>
  <si>
    <t xml:space="preserve">NURSING HOME </t>
  </si>
  <si>
    <t>OPERATING</t>
  </si>
  <si>
    <t>NH Net Taxpayer Cost:</t>
  </si>
  <si>
    <t>Expense</t>
  </si>
  <si>
    <t>Revenue</t>
  </si>
  <si>
    <t>Taxes</t>
  </si>
  <si>
    <t>%</t>
  </si>
  <si>
    <t>Projected</t>
  </si>
  <si>
    <t>CHANGE</t>
  </si>
  <si>
    <t xml:space="preserve">GRANTS                        </t>
  </si>
  <si>
    <t xml:space="preserve">MISCELLANEOUS                 </t>
  </si>
  <si>
    <t xml:space="preserve">TAXES - MUNICIPALITIES        </t>
  </si>
  <si>
    <t xml:space="preserve">GUNSTOCK                      </t>
  </si>
  <si>
    <t xml:space="preserve">TRANSFERS FROM CAPITAL - ARPA </t>
  </si>
  <si>
    <t xml:space="preserve">UNANTICIPATED                 </t>
  </si>
  <si>
    <t xml:space="preserve">RENTAL INCOME                 </t>
  </si>
  <si>
    <t>AOC Lease $267,696</t>
  </si>
  <si>
    <t>DOC Lease - $37,048</t>
  </si>
  <si>
    <t xml:space="preserve">INSURANCE REBATE/REIMBURSE    </t>
  </si>
  <si>
    <t xml:space="preserve">OPIOID ABATEMENT TRUST FUND   </t>
  </si>
  <si>
    <t xml:space="preserve">INTEREST EARNED               </t>
  </si>
  <si>
    <t xml:space="preserve">UNDESIGNATED FUND BALANCE     </t>
  </si>
  <si>
    <t xml:space="preserve">REAL ESTATE TRANSFER TAX      </t>
  </si>
  <si>
    <t xml:space="preserve">EQUIPMENT REIMBURSEMENT       </t>
  </si>
  <si>
    <t xml:space="preserve">LCHIP FEES                    </t>
  </si>
  <si>
    <t xml:space="preserve">MISCELLANEOUS INCOME          </t>
  </si>
  <si>
    <t>Highway Safety Grant 2023</t>
  </si>
  <si>
    <t xml:space="preserve">SHERIFF'S FEES                </t>
  </si>
  <si>
    <t xml:space="preserve">COURT SECURITY                </t>
  </si>
  <si>
    <t xml:space="preserve">43 shifts average a week. $151 </t>
  </si>
  <si>
    <t>reimbursement rate from State. 43 x 151</t>
  </si>
  <si>
    <t>x 52 = $337</t>
  </si>
  <si>
    <t xml:space="preserve">OUTSIDE DETAIL                </t>
  </si>
  <si>
    <t xml:space="preserve">DISPATCH SERVICES             </t>
  </si>
  <si>
    <t>Town of Northfield</t>
  </si>
  <si>
    <t xml:space="preserve">JOINT OPERATIONS              </t>
  </si>
  <si>
    <t xml:space="preserve">INMATE REIMBURSEMENTS         </t>
  </si>
  <si>
    <t xml:space="preserve">WORK RELEASE                  </t>
  </si>
  <si>
    <t>33% of net pay</t>
  </si>
  <si>
    <t xml:space="preserve">TELEPHONE COMMISSION          </t>
  </si>
  <si>
    <t xml:space="preserve">INMATE GARDEN PROGRAM         </t>
  </si>
  <si>
    <t xml:space="preserve">ELECTRONIC MONITORING         </t>
  </si>
  <si>
    <t>Inmate pays $10/day</t>
  </si>
  <si>
    <t xml:space="preserve">COMMISSARY INCOME             </t>
  </si>
  <si>
    <t>17%  of sales</t>
  </si>
  <si>
    <t>SS incentive &amp; copies, etc.</t>
  </si>
  <si>
    <t xml:space="preserve">PROGRAM FEES                  </t>
  </si>
  <si>
    <t xml:space="preserve">STATE INCENTIVE FUNDS         </t>
  </si>
  <si>
    <t xml:space="preserve">HHS RECOVERIES                </t>
  </si>
  <si>
    <t xml:space="preserve">PROSHARE                      </t>
  </si>
  <si>
    <t xml:space="preserve">RESIDENT RESOURCES            </t>
  </si>
  <si>
    <t xml:space="preserve">MEDICAID                      </t>
  </si>
  <si>
    <t xml:space="preserve">MEDICARE - PART A             </t>
  </si>
  <si>
    <t xml:space="preserve">MEDICARE - PART B             </t>
  </si>
  <si>
    <t xml:space="preserve">PRIVATE PAY                   </t>
  </si>
  <si>
    <t xml:space="preserve">MEDICAID INCENTIVE            </t>
  </si>
  <si>
    <t xml:space="preserve">CO INSURANCE A                </t>
  </si>
  <si>
    <t xml:space="preserve">CO-INSURANCE - B              </t>
  </si>
  <si>
    <t xml:space="preserve">PANDEMIC TESTING (STATE NH)   </t>
  </si>
  <si>
    <t xml:space="preserve">BAD DEBT                      </t>
  </si>
  <si>
    <t xml:space="preserve">MEAL SALES                    </t>
  </si>
  <si>
    <t>GRAND TOTAL</t>
  </si>
  <si>
    <t>Without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</si>
</sst>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1" applyNumberFormat="1" applyFont="1" applyFill="1"/>
    <xf numFmtId="164" fontId="2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4" fontId="2" fillId="2" borderId="0" xfId="0" applyNumberFormat="1" applyFont="1" applyFill="1"/>
    <xf numFmtId="14" fontId="2" fillId="3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14" fontId="2" fillId="4" borderId="0" xfId="0" applyNumberFormat="1" applyFont="1" applyFill="1"/>
    <xf numFmtId="14" fontId="2" fillId="5" borderId="0" xfId="0" applyNumberFormat="1" applyFont="1" applyFill="1"/>
    <xf numFmtId="164" fontId="3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/>
    <xf numFmtId="9" fontId="2" fillId="0" borderId="0" xfId="2" applyFont="1"/>
    <xf numFmtId="164" fontId="2" fillId="0" borderId="0" xfId="0" applyNumberFormat="1" applyFont="1"/>
    <xf numFmtId="9" fontId="3" fillId="0" borderId="0" xfId="2" applyFont="1"/>
    <xf numFmtId="164" fontId="3" fillId="0" borderId="0" xfId="0" applyNumberFormat="1" applyFont="1"/>
    <xf numFmtId="1" fontId="2" fillId="0" borderId="0" xfId="1" quotePrefix="1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164" fontId="2" fillId="0" borderId="1" xfId="1" applyNumberFormat="1" applyFont="1" applyBorder="1"/>
    <xf numFmtId="164" fontId="3" fillId="0" borderId="0" xfId="1" applyNumberFormat="1" applyFont="1" applyFill="1" applyBorder="1"/>
    <xf numFmtId="164" fontId="2" fillId="0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0" xfId="0" applyNumberFormat="1" applyFont="1"/>
    <xf numFmtId="10" fontId="2" fillId="0" borderId="1" xfId="0" applyNumberFormat="1" applyFont="1" applyBorder="1"/>
    <xf numFmtId="164" fontId="3" fillId="0" borderId="2" xfId="1" applyNumberFormat="1" applyFont="1" applyFill="1" applyBorder="1"/>
    <xf numFmtId="164" fontId="3" fillId="0" borderId="2" xfId="1" applyNumberFormat="1" applyFont="1" applyBorder="1"/>
    <xf numFmtId="164" fontId="2" fillId="0" borderId="0" xfId="1" applyNumberFormat="1" applyFont="1" applyFill="1" applyBorder="1"/>
    <xf numFmtId="164" fontId="2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epartment_Heads\23%20Budget%20to%20Actual.xlsx" TargetMode="External"/><Relationship Id="rId1" Type="http://schemas.openxmlformats.org/officeDocument/2006/relationships/externalLinkPath" Target="file:///S:\Department_Heads\23%20Budget%20to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epartment_Heads\22%20Budget%20to%20Actual.xlsx" TargetMode="External"/><Relationship Id="rId1" Type="http://schemas.openxmlformats.org/officeDocument/2006/relationships/externalLinkPath" Target="file:///S:\Department_Heads\22%20Budget%20to%20Actual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Finance\2023%20Budget\23%20Budget%20Worksheet.xlsx" TargetMode="External"/><Relationship Id="rId1" Type="http://schemas.openxmlformats.org/officeDocument/2006/relationships/externalLinkPath" Target="/Finance/2023%20Budget/23%20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"/>
      <sheetName val="Revenue"/>
    </sheetNames>
    <sheetDataSet>
      <sheetData sheetId="0">
        <row r="4">
          <cell r="I4">
            <v>3000</v>
          </cell>
          <cell r="N4">
            <v>3000</v>
          </cell>
        </row>
        <row r="5">
          <cell r="I5">
            <v>0</v>
          </cell>
          <cell r="N5">
            <v>0</v>
          </cell>
        </row>
        <row r="6">
          <cell r="I6">
            <v>1108</v>
          </cell>
          <cell r="N6">
            <v>989</v>
          </cell>
        </row>
        <row r="7">
          <cell r="I7">
            <v>1800</v>
          </cell>
          <cell r="N7">
            <v>1919</v>
          </cell>
        </row>
        <row r="11">
          <cell r="I11">
            <v>662862</v>
          </cell>
          <cell r="N11">
            <v>625500</v>
          </cell>
        </row>
        <row r="12">
          <cell r="I12">
            <v>53316.67</v>
          </cell>
          <cell r="N12">
            <v>59485</v>
          </cell>
        </row>
        <row r="13">
          <cell r="I13">
            <v>98093</v>
          </cell>
          <cell r="N13">
            <v>98093</v>
          </cell>
        </row>
        <row r="14">
          <cell r="I14">
            <v>0</v>
          </cell>
          <cell r="N14">
            <v>300</v>
          </cell>
        </row>
        <row r="15">
          <cell r="I15">
            <v>6000</v>
          </cell>
          <cell r="N15">
            <v>12100</v>
          </cell>
        </row>
        <row r="16">
          <cell r="I16">
            <v>900</v>
          </cell>
          <cell r="N16">
            <v>900</v>
          </cell>
        </row>
        <row r="17">
          <cell r="I17">
            <v>127765</v>
          </cell>
          <cell r="N17">
            <v>112000</v>
          </cell>
        </row>
        <row r="18">
          <cell r="I18">
            <v>3321</v>
          </cell>
          <cell r="N18">
            <v>1800</v>
          </cell>
        </row>
        <row r="19">
          <cell r="I19">
            <v>63300</v>
          </cell>
          <cell r="N19">
            <v>60000</v>
          </cell>
        </row>
        <row r="20">
          <cell r="I20">
            <v>106800</v>
          </cell>
          <cell r="N20">
            <v>101000</v>
          </cell>
        </row>
        <row r="21">
          <cell r="I21">
            <v>323</v>
          </cell>
          <cell r="N21">
            <v>323</v>
          </cell>
        </row>
        <row r="22">
          <cell r="I22">
            <v>1413</v>
          </cell>
          <cell r="N22">
            <v>1413</v>
          </cell>
        </row>
        <row r="23">
          <cell r="I23">
            <v>4040</v>
          </cell>
          <cell r="N23">
            <v>4040</v>
          </cell>
        </row>
        <row r="24">
          <cell r="I24">
            <v>1200</v>
          </cell>
          <cell r="N24">
            <v>850</v>
          </cell>
        </row>
        <row r="25">
          <cell r="I25">
            <v>900</v>
          </cell>
          <cell r="N25">
            <v>900</v>
          </cell>
        </row>
        <row r="26">
          <cell r="I26">
            <v>15500</v>
          </cell>
          <cell r="N26">
            <v>6600</v>
          </cell>
        </row>
        <row r="27">
          <cell r="I27">
            <v>18000</v>
          </cell>
          <cell r="N27">
            <v>21000</v>
          </cell>
        </row>
        <row r="28">
          <cell r="I28">
            <v>10000</v>
          </cell>
          <cell r="N28">
            <v>12500</v>
          </cell>
        </row>
        <row r="29">
          <cell r="I29">
            <v>250</v>
          </cell>
          <cell r="N29">
            <v>250</v>
          </cell>
        </row>
        <row r="30">
          <cell r="I30">
            <v>3180</v>
          </cell>
          <cell r="N30">
            <v>3875</v>
          </cell>
        </row>
        <row r="31">
          <cell r="I31">
            <v>5688</v>
          </cell>
          <cell r="N31">
            <v>5688</v>
          </cell>
        </row>
        <row r="32">
          <cell r="I32">
            <v>300</v>
          </cell>
          <cell r="N32">
            <v>0</v>
          </cell>
        </row>
        <row r="33">
          <cell r="I33">
            <v>500</v>
          </cell>
          <cell r="N33">
            <v>650</v>
          </cell>
        </row>
        <row r="34">
          <cell r="I34">
            <v>1200</v>
          </cell>
          <cell r="N34">
            <v>700</v>
          </cell>
        </row>
        <row r="35">
          <cell r="I35">
            <v>1000</v>
          </cell>
          <cell r="N35">
            <v>1000</v>
          </cell>
        </row>
        <row r="36">
          <cell r="I36">
            <v>3000</v>
          </cell>
          <cell r="N36">
            <v>3000</v>
          </cell>
        </row>
        <row r="37">
          <cell r="I37">
            <v>1000</v>
          </cell>
          <cell r="N37">
            <v>1200</v>
          </cell>
        </row>
        <row r="38">
          <cell r="I38">
            <v>800</v>
          </cell>
          <cell r="N38">
            <v>1950</v>
          </cell>
        </row>
        <row r="39">
          <cell r="I39">
            <v>2000</v>
          </cell>
          <cell r="N39">
            <v>2000</v>
          </cell>
        </row>
        <row r="43">
          <cell r="I43">
            <v>207500</v>
          </cell>
          <cell r="N43">
            <v>212425</v>
          </cell>
        </row>
        <row r="44">
          <cell r="I44">
            <v>29712</v>
          </cell>
          <cell r="N44">
            <v>29712</v>
          </cell>
        </row>
        <row r="45">
          <cell r="I45">
            <v>2500</v>
          </cell>
          <cell r="N45">
            <v>1500</v>
          </cell>
        </row>
        <row r="46">
          <cell r="I46">
            <v>5620</v>
          </cell>
          <cell r="N46">
            <v>6415</v>
          </cell>
        </row>
        <row r="47">
          <cell r="I47">
            <v>500</v>
          </cell>
          <cell r="N47">
            <v>500</v>
          </cell>
        </row>
        <row r="48">
          <cell r="I48">
            <v>27450</v>
          </cell>
          <cell r="N48">
            <v>25316</v>
          </cell>
        </row>
        <row r="49">
          <cell r="I49">
            <v>950</v>
          </cell>
          <cell r="N49">
            <v>330</v>
          </cell>
        </row>
        <row r="50">
          <cell r="I50">
            <v>19400</v>
          </cell>
          <cell r="N50">
            <v>18750</v>
          </cell>
        </row>
        <row r="51">
          <cell r="I51">
            <v>30850</v>
          </cell>
          <cell r="N51">
            <v>29930</v>
          </cell>
        </row>
        <row r="52">
          <cell r="I52">
            <v>54</v>
          </cell>
          <cell r="N52">
            <v>54</v>
          </cell>
        </row>
        <row r="53">
          <cell r="I53">
            <v>564</v>
          </cell>
          <cell r="N53">
            <v>564</v>
          </cell>
        </row>
        <row r="54">
          <cell r="I54">
            <v>1500</v>
          </cell>
          <cell r="N54">
            <v>1000</v>
          </cell>
        </row>
        <row r="55">
          <cell r="I55">
            <v>35670</v>
          </cell>
          <cell r="N55">
            <v>35670</v>
          </cell>
        </row>
        <row r="56">
          <cell r="I56">
            <v>12500</v>
          </cell>
          <cell r="N56">
            <v>3000</v>
          </cell>
        </row>
        <row r="57">
          <cell r="I57">
            <v>2680</v>
          </cell>
          <cell r="N57">
            <v>2680</v>
          </cell>
        </row>
        <row r="58">
          <cell r="I58">
            <v>3348</v>
          </cell>
          <cell r="N58">
            <v>3380</v>
          </cell>
        </row>
        <row r="59">
          <cell r="I59">
            <v>32947</v>
          </cell>
          <cell r="N59">
            <v>32947</v>
          </cell>
        </row>
        <row r="60">
          <cell r="I60">
            <v>350</v>
          </cell>
          <cell r="N60">
            <v>0</v>
          </cell>
        </row>
        <row r="61">
          <cell r="I61">
            <v>8476</v>
          </cell>
          <cell r="N61">
            <v>8304</v>
          </cell>
        </row>
        <row r="62">
          <cell r="I62">
            <v>300</v>
          </cell>
          <cell r="N62">
            <v>153</v>
          </cell>
        </row>
        <row r="63">
          <cell r="I63">
            <v>2000</v>
          </cell>
          <cell r="N63">
            <v>2000</v>
          </cell>
        </row>
        <row r="64">
          <cell r="I64">
            <v>3900</v>
          </cell>
          <cell r="N64">
            <v>2108</v>
          </cell>
        </row>
        <row r="65">
          <cell r="I65">
            <v>500</v>
          </cell>
          <cell r="N65">
            <v>2500</v>
          </cell>
        </row>
        <row r="66">
          <cell r="I66">
            <v>500</v>
          </cell>
          <cell r="N66">
            <v>900</v>
          </cell>
        </row>
        <row r="67">
          <cell r="I67">
            <v>900</v>
          </cell>
          <cell r="N67">
            <v>1000</v>
          </cell>
        </row>
        <row r="71">
          <cell r="I71">
            <v>37001</v>
          </cell>
          <cell r="N71">
            <v>32179</v>
          </cell>
        </row>
        <row r="72">
          <cell r="I72">
            <v>0</v>
          </cell>
          <cell r="N72">
            <v>580</v>
          </cell>
        </row>
        <row r="73">
          <cell r="I73">
            <v>24330</v>
          </cell>
          <cell r="N73">
            <v>0</v>
          </cell>
        </row>
        <row r="74">
          <cell r="I74">
            <v>2850</v>
          </cell>
          <cell r="N74">
            <v>2520</v>
          </cell>
        </row>
        <row r="75">
          <cell r="I75">
            <v>5100</v>
          </cell>
          <cell r="N75">
            <v>3036</v>
          </cell>
        </row>
        <row r="76">
          <cell r="I76"/>
          <cell r="N76">
            <v>450</v>
          </cell>
        </row>
        <row r="77">
          <cell r="I77">
            <v>67185</v>
          </cell>
          <cell r="N77">
            <v>80980</v>
          </cell>
        </row>
        <row r="78">
          <cell r="I78">
            <v>70387</v>
          </cell>
          <cell r="N78">
            <v>3312</v>
          </cell>
        </row>
        <row r="79">
          <cell r="I79"/>
          <cell r="N79">
            <v>31631.11</v>
          </cell>
        </row>
        <row r="80">
          <cell r="I80"/>
          <cell r="N80">
            <v>12203.25</v>
          </cell>
        </row>
        <row r="81">
          <cell r="I81"/>
          <cell r="N81">
            <v>29160</v>
          </cell>
        </row>
        <row r="82">
          <cell r="I82"/>
          <cell r="N82">
            <v>5603</v>
          </cell>
        </row>
        <row r="83">
          <cell r="I83"/>
          <cell r="N83">
            <v>4049.98</v>
          </cell>
        </row>
        <row r="84">
          <cell r="I84">
            <v>22500</v>
          </cell>
          <cell r="N84">
            <v>16709</v>
          </cell>
        </row>
        <row r="85">
          <cell r="I85">
            <v>21227</v>
          </cell>
          <cell r="N85">
            <v>14000</v>
          </cell>
        </row>
        <row r="86">
          <cell r="I86">
            <v>400</v>
          </cell>
          <cell r="N86">
            <v>700</v>
          </cell>
        </row>
        <row r="87">
          <cell r="I87">
            <v>20000</v>
          </cell>
          <cell r="N87">
            <v>19000</v>
          </cell>
        </row>
        <row r="91">
          <cell r="I91">
            <v>222300</v>
          </cell>
          <cell r="N91">
            <v>222995</v>
          </cell>
        </row>
        <row r="92">
          <cell r="I92">
            <v>140</v>
          </cell>
          <cell r="N92">
            <v>0</v>
          </cell>
        </row>
        <row r="93">
          <cell r="I93">
            <v>3961</v>
          </cell>
          <cell r="N93">
            <v>3961</v>
          </cell>
        </row>
        <row r="94">
          <cell r="I94">
            <v>0</v>
          </cell>
          <cell r="N94">
            <v>267</v>
          </cell>
        </row>
        <row r="95">
          <cell r="I95">
            <v>0</v>
          </cell>
          <cell r="N95">
            <v>2120</v>
          </cell>
        </row>
        <row r="96">
          <cell r="N96">
            <v>300</v>
          </cell>
        </row>
        <row r="97">
          <cell r="I97">
            <v>46741</v>
          </cell>
          <cell r="N97">
            <v>46100</v>
          </cell>
        </row>
        <row r="98">
          <cell r="I98">
            <v>949</v>
          </cell>
          <cell r="N98">
            <v>620</v>
          </cell>
        </row>
        <row r="99">
          <cell r="I99">
            <v>16950</v>
          </cell>
          <cell r="N99">
            <v>17500</v>
          </cell>
        </row>
        <row r="100">
          <cell r="I100">
            <v>29950</v>
          </cell>
          <cell r="N100">
            <v>31200</v>
          </cell>
        </row>
        <row r="101">
          <cell r="I101">
            <v>81</v>
          </cell>
          <cell r="N101">
            <v>81</v>
          </cell>
        </row>
        <row r="102">
          <cell r="I102">
            <v>444</v>
          </cell>
          <cell r="N102">
            <v>444</v>
          </cell>
        </row>
        <row r="103">
          <cell r="I103">
            <v>100</v>
          </cell>
          <cell r="N103">
            <v>150</v>
          </cell>
        </row>
        <row r="104">
          <cell r="I104">
            <v>1500</v>
          </cell>
          <cell r="N104">
            <v>85</v>
          </cell>
        </row>
        <row r="105">
          <cell r="I105">
            <v>3300</v>
          </cell>
          <cell r="N105">
            <v>1160</v>
          </cell>
        </row>
        <row r="106">
          <cell r="I106">
            <v>1800</v>
          </cell>
          <cell r="N106">
            <v>1600</v>
          </cell>
        </row>
        <row r="107">
          <cell r="I107">
            <v>1200</v>
          </cell>
          <cell r="N107">
            <v>1100</v>
          </cell>
        </row>
        <row r="111">
          <cell r="I111">
            <v>116400</v>
          </cell>
          <cell r="N111">
            <v>116400</v>
          </cell>
        </row>
        <row r="112">
          <cell r="I112">
            <v>10655</v>
          </cell>
          <cell r="N112">
            <v>10655</v>
          </cell>
        </row>
        <row r="113">
          <cell r="I113">
            <v>75257</v>
          </cell>
          <cell r="N113">
            <v>75257</v>
          </cell>
        </row>
        <row r="114">
          <cell r="I114">
            <v>9950</v>
          </cell>
          <cell r="N114">
            <v>9950</v>
          </cell>
        </row>
        <row r="115">
          <cell r="I115">
            <v>300</v>
          </cell>
          <cell r="N115">
            <v>300</v>
          </cell>
        </row>
        <row r="116">
          <cell r="I116">
            <v>48751</v>
          </cell>
          <cell r="N116">
            <v>48751</v>
          </cell>
        </row>
        <row r="117">
          <cell r="I117">
            <v>948.6</v>
          </cell>
          <cell r="N117">
            <v>620</v>
          </cell>
        </row>
        <row r="118">
          <cell r="I118">
            <v>15500</v>
          </cell>
          <cell r="N118">
            <v>16265</v>
          </cell>
        </row>
        <row r="119">
          <cell r="I119">
            <v>26425</v>
          </cell>
          <cell r="N119">
            <v>26425</v>
          </cell>
        </row>
        <row r="120">
          <cell r="I120">
            <v>27</v>
          </cell>
          <cell r="N120">
            <v>27</v>
          </cell>
        </row>
        <row r="121">
          <cell r="I121">
            <v>364</v>
          </cell>
          <cell r="N121">
            <v>364</v>
          </cell>
        </row>
        <row r="122">
          <cell r="I122">
            <v>1560</v>
          </cell>
          <cell r="N122">
            <v>1560</v>
          </cell>
        </row>
        <row r="123">
          <cell r="I123">
            <v>68000</v>
          </cell>
          <cell r="N123">
            <v>60000</v>
          </cell>
        </row>
        <row r="124">
          <cell r="I124">
            <v>990</v>
          </cell>
          <cell r="N124">
            <v>990</v>
          </cell>
        </row>
        <row r="125">
          <cell r="I125">
            <v>33915</v>
          </cell>
          <cell r="N125">
            <v>29490</v>
          </cell>
        </row>
        <row r="126">
          <cell r="I126">
            <v>4400</v>
          </cell>
          <cell r="N126">
            <v>3000</v>
          </cell>
        </row>
        <row r="127">
          <cell r="I127">
            <v>1500</v>
          </cell>
          <cell r="N127">
            <v>1300</v>
          </cell>
        </row>
        <row r="128">
          <cell r="I128">
            <v>21216</v>
          </cell>
          <cell r="N128">
            <v>21216</v>
          </cell>
        </row>
        <row r="129">
          <cell r="I129">
            <v>5564</v>
          </cell>
          <cell r="N129">
            <v>5564</v>
          </cell>
        </row>
        <row r="130">
          <cell r="I130">
            <v>100</v>
          </cell>
          <cell r="N130">
            <v>113</v>
          </cell>
        </row>
        <row r="131">
          <cell r="I131">
            <v>310</v>
          </cell>
          <cell r="N131">
            <v>310</v>
          </cell>
        </row>
        <row r="132">
          <cell r="I132">
            <v>1800</v>
          </cell>
          <cell r="N132">
            <v>1800</v>
          </cell>
        </row>
        <row r="133">
          <cell r="I133">
            <v>200</v>
          </cell>
          <cell r="N133">
            <v>100</v>
          </cell>
        </row>
        <row r="134">
          <cell r="I134">
            <v>400</v>
          </cell>
          <cell r="N134">
            <v>400</v>
          </cell>
        </row>
        <row r="135">
          <cell r="I135">
            <v>1850</v>
          </cell>
          <cell r="N135">
            <v>1100</v>
          </cell>
        </row>
        <row r="136">
          <cell r="I136">
            <v>0</v>
          </cell>
          <cell r="N136">
            <v>0</v>
          </cell>
        </row>
        <row r="140">
          <cell r="I140">
            <v>284000</v>
          </cell>
          <cell r="N140">
            <v>284000</v>
          </cell>
        </row>
        <row r="141">
          <cell r="I141">
            <v>2500</v>
          </cell>
          <cell r="N141">
            <v>5500</v>
          </cell>
        </row>
        <row r="142">
          <cell r="I142">
            <v>4975</v>
          </cell>
          <cell r="N142">
            <v>3925</v>
          </cell>
        </row>
        <row r="143">
          <cell r="I143">
            <v>600</v>
          </cell>
          <cell r="N143">
            <v>600</v>
          </cell>
        </row>
        <row r="144">
          <cell r="I144">
            <v>80800</v>
          </cell>
          <cell r="N144">
            <v>63330</v>
          </cell>
        </row>
        <row r="145">
          <cell r="I145">
            <v>474.3</v>
          </cell>
          <cell r="N145">
            <v>330</v>
          </cell>
        </row>
        <row r="146">
          <cell r="I146">
            <v>22400</v>
          </cell>
          <cell r="N146">
            <v>22400</v>
          </cell>
        </row>
        <row r="147">
          <cell r="I147">
            <v>40300</v>
          </cell>
          <cell r="N147">
            <v>40300</v>
          </cell>
        </row>
        <row r="148">
          <cell r="I148">
            <v>108</v>
          </cell>
          <cell r="N148">
            <v>108</v>
          </cell>
        </row>
        <row r="149">
          <cell r="I149">
            <v>7293</v>
          </cell>
          <cell r="N149">
            <v>7293</v>
          </cell>
        </row>
        <row r="152">
          <cell r="I152">
            <v>2880</v>
          </cell>
          <cell r="N152">
            <v>3400</v>
          </cell>
        </row>
        <row r="153">
          <cell r="I153">
            <v>12750</v>
          </cell>
          <cell r="N153">
            <v>11577</v>
          </cell>
        </row>
        <row r="154">
          <cell r="I154">
            <v>25875</v>
          </cell>
          <cell r="N154">
            <v>28000</v>
          </cell>
        </row>
        <row r="155">
          <cell r="I155">
            <v>4800</v>
          </cell>
          <cell r="N155">
            <v>6300</v>
          </cell>
        </row>
        <row r="156">
          <cell r="I156">
            <v>195000</v>
          </cell>
          <cell r="N156">
            <v>190000</v>
          </cell>
        </row>
        <row r="157">
          <cell r="I157">
            <v>93000</v>
          </cell>
          <cell r="N157">
            <v>85000</v>
          </cell>
        </row>
        <row r="158">
          <cell r="I158">
            <v>33620</v>
          </cell>
          <cell r="N158">
            <v>33620</v>
          </cell>
        </row>
        <row r="159">
          <cell r="I159">
            <v>23230</v>
          </cell>
          <cell r="N159">
            <v>12000</v>
          </cell>
        </row>
        <row r="160">
          <cell r="I160">
            <v>11820</v>
          </cell>
          <cell r="N160">
            <v>20000</v>
          </cell>
        </row>
        <row r="164">
          <cell r="I164">
            <v>6500</v>
          </cell>
          <cell r="N164">
            <v>8000</v>
          </cell>
        </row>
        <row r="165">
          <cell r="I165">
            <v>8000</v>
          </cell>
          <cell r="N165">
            <v>7000</v>
          </cell>
        </row>
        <row r="166">
          <cell r="I166">
            <v>150</v>
          </cell>
          <cell r="N166">
            <v>0</v>
          </cell>
        </row>
        <row r="167">
          <cell r="I167">
            <v>250</v>
          </cell>
          <cell r="N167">
            <v>589</v>
          </cell>
        </row>
        <row r="168">
          <cell r="I168">
            <v>200</v>
          </cell>
          <cell r="N168">
            <v>200</v>
          </cell>
        </row>
        <row r="169">
          <cell r="I169"/>
        </row>
        <row r="170">
          <cell r="I170">
            <v>3000</v>
          </cell>
          <cell r="N170">
            <v>1200</v>
          </cell>
        </row>
        <row r="171">
          <cell r="I171">
            <v>0</v>
          </cell>
          <cell r="N171">
            <v>2243</v>
          </cell>
        </row>
        <row r="172">
          <cell r="I172">
            <v>44421.520000000004</v>
          </cell>
          <cell r="N172">
            <v>28000</v>
          </cell>
        </row>
        <row r="173">
          <cell r="I173">
            <v>11575</v>
          </cell>
          <cell r="N173">
            <v>13410</v>
          </cell>
        </row>
        <row r="177">
          <cell r="I177">
            <v>103602</v>
          </cell>
        </row>
        <row r="181">
          <cell r="I181">
            <v>742270</v>
          </cell>
          <cell r="N181">
            <v>666000</v>
          </cell>
        </row>
        <row r="182">
          <cell r="I182">
            <v>506800</v>
          </cell>
          <cell r="N182">
            <v>404000</v>
          </cell>
        </row>
        <row r="183">
          <cell r="I183">
            <v>90600</v>
          </cell>
          <cell r="N183">
            <v>45000</v>
          </cell>
        </row>
        <row r="184">
          <cell r="I184">
            <v>16000</v>
          </cell>
          <cell r="N184">
            <v>10000</v>
          </cell>
        </row>
        <row r="185">
          <cell r="I185">
            <v>361930</v>
          </cell>
          <cell r="N185">
            <v>375930</v>
          </cell>
        </row>
        <row r="186">
          <cell r="I186">
            <v>81735</v>
          </cell>
          <cell r="N186">
            <v>81735</v>
          </cell>
        </row>
        <row r="187">
          <cell r="I187">
            <v>47500</v>
          </cell>
          <cell r="N187">
            <v>45000</v>
          </cell>
        </row>
        <row r="188">
          <cell r="I188">
            <v>18000</v>
          </cell>
          <cell r="N188">
            <v>24000</v>
          </cell>
        </row>
        <row r="189">
          <cell r="I189">
            <v>0</v>
          </cell>
          <cell r="N189">
            <v>0</v>
          </cell>
        </row>
        <row r="190">
          <cell r="I190">
            <v>27000</v>
          </cell>
          <cell r="N190">
            <v>46000</v>
          </cell>
        </row>
        <row r="191">
          <cell r="I191">
            <v>18500</v>
          </cell>
          <cell r="N191">
            <v>15800</v>
          </cell>
        </row>
        <row r="192">
          <cell r="I192">
            <v>6000</v>
          </cell>
          <cell r="N192">
            <v>3737.11</v>
          </cell>
        </row>
        <row r="193">
          <cell r="I193">
            <v>3300</v>
          </cell>
          <cell r="N193">
            <v>500</v>
          </cell>
        </row>
        <row r="194">
          <cell r="I194">
            <v>245101</v>
          </cell>
          <cell r="N194">
            <v>263000</v>
          </cell>
        </row>
        <row r="195">
          <cell r="I195">
            <v>948.6</v>
          </cell>
          <cell r="N195">
            <v>330</v>
          </cell>
        </row>
        <row r="196">
          <cell r="I196">
            <v>103830</v>
          </cell>
          <cell r="N196">
            <v>97000</v>
          </cell>
        </row>
        <row r="197">
          <cell r="I197">
            <v>321215</v>
          </cell>
          <cell r="N197">
            <v>265000</v>
          </cell>
        </row>
        <row r="198">
          <cell r="I198">
            <v>1531</v>
          </cell>
          <cell r="N198">
            <v>1531</v>
          </cell>
        </row>
        <row r="199">
          <cell r="I199">
            <v>23046</v>
          </cell>
          <cell r="N199">
            <v>23046</v>
          </cell>
        </row>
        <row r="200">
          <cell r="I200">
            <v>36437</v>
          </cell>
          <cell r="N200">
            <v>25000</v>
          </cell>
        </row>
        <row r="201">
          <cell r="I201">
            <v>645</v>
          </cell>
          <cell r="N201">
            <v>645</v>
          </cell>
        </row>
        <row r="202">
          <cell r="I202">
            <v>20240</v>
          </cell>
          <cell r="N202">
            <v>20240</v>
          </cell>
        </row>
        <row r="203">
          <cell r="I203">
            <v>29670</v>
          </cell>
          <cell r="N203">
            <v>26000</v>
          </cell>
        </row>
        <row r="204">
          <cell r="I204">
            <v>30001</v>
          </cell>
          <cell r="N204">
            <v>30001</v>
          </cell>
        </row>
        <row r="205">
          <cell r="I205">
            <v>15000</v>
          </cell>
          <cell r="N205">
            <v>10000</v>
          </cell>
        </row>
        <row r="206">
          <cell r="I206">
            <v>3504</v>
          </cell>
          <cell r="N206">
            <v>3504</v>
          </cell>
        </row>
        <row r="207">
          <cell r="I207">
            <v>27484</v>
          </cell>
          <cell r="N207">
            <v>27484</v>
          </cell>
        </row>
        <row r="208">
          <cell r="I208">
            <v>500</v>
          </cell>
          <cell r="N208">
            <v>500</v>
          </cell>
        </row>
        <row r="209">
          <cell r="I209">
            <v>0</v>
          </cell>
          <cell r="N209">
            <v>0</v>
          </cell>
        </row>
        <row r="210">
          <cell r="I210">
            <v>575</v>
          </cell>
          <cell r="N210">
            <v>575</v>
          </cell>
        </row>
        <row r="211">
          <cell r="I211">
            <v>1625</v>
          </cell>
          <cell r="N211">
            <v>1625</v>
          </cell>
        </row>
        <row r="212">
          <cell r="I212">
            <v>800</v>
          </cell>
          <cell r="N212">
            <v>1500</v>
          </cell>
        </row>
        <row r="213">
          <cell r="I213">
            <v>200</v>
          </cell>
          <cell r="N213">
            <v>0</v>
          </cell>
        </row>
        <row r="214">
          <cell r="I214">
            <v>10000</v>
          </cell>
          <cell r="N214">
            <v>10000</v>
          </cell>
        </row>
        <row r="215">
          <cell r="I215">
            <v>5550</v>
          </cell>
          <cell r="N215">
            <v>5550</v>
          </cell>
        </row>
        <row r="216">
          <cell r="I216">
            <v>10000</v>
          </cell>
          <cell r="N216">
            <v>14200</v>
          </cell>
        </row>
        <row r="217">
          <cell r="I217">
            <v>500</v>
          </cell>
          <cell r="N217">
            <v>500</v>
          </cell>
        </row>
        <row r="218">
          <cell r="I218">
            <v>6600</v>
          </cell>
          <cell r="N218">
            <v>6800</v>
          </cell>
        </row>
        <row r="219">
          <cell r="I219">
            <v>6000</v>
          </cell>
          <cell r="N219">
            <v>3000</v>
          </cell>
        </row>
        <row r="220">
          <cell r="I220">
            <v>3185</v>
          </cell>
          <cell r="N220">
            <v>3000</v>
          </cell>
        </row>
        <row r="221">
          <cell r="I221">
            <v>1000</v>
          </cell>
          <cell r="N221">
            <v>1000</v>
          </cell>
        </row>
        <row r="222">
          <cell r="I222">
            <v>2200</v>
          </cell>
          <cell r="N222">
            <v>2600</v>
          </cell>
        </row>
        <row r="223">
          <cell r="I223">
            <v>25000</v>
          </cell>
          <cell r="N223">
            <v>26000</v>
          </cell>
        </row>
        <row r="224">
          <cell r="I224">
            <v>10000</v>
          </cell>
          <cell r="N224">
            <v>12200</v>
          </cell>
        </row>
        <row r="225">
          <cell r="I225">
            <v>300</v>
          </cell>
          <cell r="N225">
            <v>300</v>
          </cell>
        </row>
        <row r="226">
          <cell r="I226">
            <v>9600</v>
          </cell>
          <cell r="N226">
            <v>9600</v>
          </cell>
        </row>
        <row r="227">
          <cell r="I227">
            <v>54702</v>
          </cell>
          <cell r="N227">
            <v>54702</v>
          </cell>
        </row>
        <row r="229">
          <cell r="I229"/>
          <cell r="N229"/>
        </row>
        <row r="230">
          <cell r="I230"/>
          <cell r="N230"/>
        </row>
        <row r="231">
          <cell r="I231">
            <v>2462600</v>
          </cell>
          <cell r="N231">
            <v>2398000</v>
          </cell>
        </row>
        <row r="232">
          <cell r="I232">
            <v>201100</v>
          </cell>
          <cell r="N232">
            <v>185000</v>
          </cell>
        </row>
        <row r="233">
          <cell r="I233">
            <v>90000</v>
          </cell>
          <cell r="N233">
            <v>90000</v>
          </cell>
        </row>
        <row r="234">
          <cell r="I234">
            <v>36600</v>
          </cell>
          <cell r="N234">
            <v>77759</v>
          </cell>
        </row>
        <row r="235">
          <cell r="I235">
            <v>667</v>
          </cell>
          <cell r="N235">
            <v>665.04</v>
          </cell>
        </row>
        <row r="236">
          <cell r="I236">
            <v>5550</v>
          </cell>
          <cell r="N236">
            <v>6000</v>
          </cell>
        </row>
        <row r="237">
          <cell r="I237">
            <v>647100</v>
          </cell>
          <cell r="N237">
            <v>620000</v>
          </cell>
        </row>
        <row r="238">
          <cell r="I238">
            <v>3825</v>
          </cell>
          <cell r="N238">
            <v>3030</v>
          </cell>
        </row>
        <row r="239">
          <cell r="I239">
            <v>60750</v>
          </cell>
          <cell r="N239">
            <v>59600</v>
          </cell>
        </row>
        <row r="240">
          <cell r="I240">
            <v>828350</v>
          </cell>
          <cell r="N240">
            <v>800000</v>
          </cell>
        </row>
        <row r="241">
          <cell r="I241">
            <v>1558</v>
          </cell>
          <cell r="N241">
            <v>1557.59</v>
          </cell>
        </row>
        <row r="242">
          <cell r="I242">
            <v>53863</v>
          </cell>
          <cell r="N242">
            <v>53862.55</v>
          </cell>
        </row>
        <row r="243">
          <cell r="I243">
            <v>1000</v>
          </cell>
          <cell r="N243">
            <v>500</v>
          </cell>
        </row>
        <row r="244">
          <cell r="I244">
            <v>64350</v>
          </cell>
          <cell r="N244">
            <v>64350</v>
          </cell>
        </row>
        <row r="245">
          <cell r="I245">
            <v>1000</v>
          </cell>
          <cell r="N245">
            <v>0</v>
          </cell>
        </row>
        <row r="246">
          <cell r="I246">
            <v>3900</v>
          </cell>
          <cell r="N246">
            <v>3900</v>
          </cell>
        </row>
        <row r="247">
          <cell r="I247">
            <v>2745</v>
          </cell>
          <cell r="N247">
            <v>1896</v>
          </cell>
        </row>
        <row r="248">
          <cell r="I248">
            <v>3284</v>
          </cell>
          <cell r="N248">
            <v>3360</v>
          </cell>
        </row>
        <row r="249">
          <cell r="I249">
            <v>3215</v>
          </cell>
          <cell r="N249">
            <v>3002</v>
          </cell>
        </row>
        <row r="250">
          <cell r="I250">
            <v>600</v>
          </cell>
          <cell r="N250">
            <v>800</v>
          </cell>
        </row>
        <row r="251">
          <cell r="I251">
            <v>797430</v>
          </cell>
          <cell r="N251">
            <v>766065</v>
          </cell>
        </row>
        <row r="252">
          <cell r="I252">
            <v>17000</v>
          </cell>
          <cell r="N252">
            <v>14000</v>
          </cell>
        </row>
        <row r="253">
          <cell r="I253">
            <v>2500</v>
          </cell>
          <cell r="N253">
            <v>0</v>
          </cell>
        </row>
        <row r="254">
          <cell r="I254">
            <v>3780</v>
          </cell>
          <cell r="N254">
            <v>2800</v>
          </cell>
        </row>
        <row r="255">
          <cell r="I255">
            <v>200000</v>
          </cell>
          <cell r="N255">
            <v>200000</v>
          </cell>
        </row>
        <row r="256">
          <cell r="I256">
            <v>500</v>
          </cell>
          <cell r="N256">
            <v>5000</v>
          </cell>
        </row>
        <row r="257">
          <cell r="I257">
            <v>1700</v>
          </cell>
          <cell r="N257">
            <v>4200</v>
          </cell>
        </row>
        <row r="258">
          <cell r="I258">
            <v>3900</v>
          </cell>
          <cell r="N258">
            <v>4200</v>
          </cell>
        </row>
        <row r="259">
          <cell r="I259">
            <v>13478</v>
          </cell>
          <cell r="N259">
            <v>13478</v>
          </cell>
        </row>
        <row r="260">
          <cell r="I260">
            <v>0</v>
          </cell>
          <cell r="N260">
            <v>140</v>
          </cell>
        </row>
        <row r="261">
          <cell r="I261">
            <v>3385</v>
          </cell>
          <cell r="N261">
            <v>3410</v>
          </cell>
        </row>
        <row r="262">
          <cell r="I262">
            <v>1000</v>
          </cell>
          <cell r="N262">
            <v>1000</v>
          </cell>
        </row>
        <row r="263">
          <cell r="I263">
            <v>9000</v>
          </cell>
          <cell r="N263">
            <v>11000</v>
          </cell>
        </row>
        <row r="264">
          <cell r="I264">
            <v>10487</v>
          </cell>
          <cell r="N264">
            <v>10300</v>
          </cell>
        </row>
        <row r="265">
          <cell r="I265">
            <v>14500</v>
          </cell>
          <cell r="N265">
            <v>11856</v>
          </cell>
        </row>
        <row r="266">
          <cell r="I266">
            <v>10000</v>
          </cell>
          <cell r="N266">
            <v>8000</v>
          </cell>
        </row>
        <row r="267">
          <cell r="I267">
            <v>2413</v>
          </cell>
          <cell r="N267">
            <v>2200</v>
          </cell>
        </row>
        <row r="268">
          <cell r="I268">
            <v>3000</v>
          </cell>
          <cell r="N268">
            <v>1200</v>
          </cell>
        </row>
        <row r="269">
          <cell r="I269">
            <v>1500</v>
          </cell>
          <cell r="N269">
            <v>1200</v>
          </cell>
        </row>
        <row r="270">
          <cell r="I270">
            <v>373</v>
          </cell>
          <cell r="N270">
            <v>341</v>
          </cell>
        </row>
        <row r="271">
          <cell r="I271">
            <v>2500</v>
          </cell>
          <cell r="N271">
            <v>1500</v>
          </cell>
        </row>
        <row r="272">
          <cell r="I272">
            <v>16100</v>
          </cell>
          <cell r="N272">
            <v>15000</v>
          </cell>
        </row>
        <row r="273">
          <cell r="I273">
            <v>2000</v>
          </cell>
          <cell r="N273">
            <v>0</v>
          </cell>
        </row>
        <row r="274">
          <cell r="I274">
            <v>2000</v>
          </cell>
          <cell r="N274">
            <v>750</v>
          </cell>
        </row>
        <row r="275">
          <cell r="I275">
            <v>1980</v>
          </cell>
          <cell r="N275">
            <v>1850</v>
          </cell>
        </row>
        <row r="276">
          <cell r="I276">
            <v>3980</v>
          </cell>
          <cell r="N276">
            <v>12813</v>
          </cell>
        </row>
        <row r="280">
          <cell r="I280">
            <v>136575</v>
          </cell>
          <cell r="N280">
            <v>125000</v>
          </cell>
        </row>
        <row r="281">
          <cell r="I281">
            <v>0</v>
          </cell>
          <cell r="N281">
            <v>0</v>
          </cell>
        </row>
        <row r="282">
          <cell r="I282">
            <v>10450</v>
          </cell>
          <cell r="N282">
            <v>9500</v>
          </cell>
        </row>
        <row r="283">
          <cell r="I283">
            <v>81</v>
          </cell>
          <cell r="N283">
            <v>80.569999999999993</v>
          </cell>
        </row>
        <row r="284">
          <cell r="I284">
            <v>222</v>
          </cell>
        </row>
        <row r="285">
          <cell r="I285">
            <v>1594</v>
          </cell>
          <cell r="N285">
            <v>1594</v>
          </cell>
        </row>
        <row r="286">
          <cell r="I286">
            <v>1685</v>
          </cell>
          <cell r="N286">
            <v>0</v>
          </cell>
        </row>
        <row r="287">
          <cell r="I287">
            <v>3930</v>
          </cell>
          <cell r="N287">
            <v>3929.28</v>
          </cell>
        </row>
        <row r="288">
          <cell r="I288">
            <v>1710</v>
          </cell>
          <cell r="N288">
            <v>1000</v>
          </cell>
        </row>
        <row r="289">
          <cell r="I289">
            <v>430</v>
          </cell>
          <cell r="N289">
            <v>0</v>
          </cell>
        </row>
        <row r="290">
          <cell r="I290">
            <v>0</v>
          </cell>
          <cell r="N290">
            <v>532</v>
          </cell>
        </row>
        <row r="291">
          <cell r="I291">
            <v>560</v>
          </cell>
          <cell r="N291">
            <v>560</v>
          </cell>
        </row>
        <row r="292">
          <cell r="I292">
            <v>30</v>
          </cell>
          <cell r="N292">
            <v>30</v>
          </cell>
        </row>
        <row r="293">
          <cell r="I293">
            <v>400</v>
          </cell>
          <cell r="N293">
            <v>400</v>
          </cell>
        </row>
        <row r="294">
          <cell r="I294">
            <v>2205</v>
          </cell>
          <cell r="N294">
            <v>2205</v>
          </cell>
        </row>
        <row r="298">
          <cell r="N298">
            <v>7564875</v>
          </cell>
        </row>
        <row r="301">
          <cell r="I301">
            <v>165000</v>
          </cell>
          <cell r="N301">
            <v>165000</v>
          </cell>
        </row>
        <row r="302">
          <cell r="I302">
            <v>50000</v>
          </cell>
          <cell r="N302">
            <v>50000</v>
          </cell>
        </row>
        <row r="303">
          <cell r="I303">
            <v>32000</v>
          </cell>
          <cell r="N303">
            <v>32000</v>
          </cell>
        </row>
        <row r="304">
          <cell r="I304">
            <v>56000</v>
          </cell>
          <cell r="N304">
            <v>56000</v>
          </cell>
        </row>
        <row r="308">
          <cell r="I308">
            <v>9000</v>
          </cell>
          <cell r="N308">
            <v>9000</v>
          </cell>
        </row>
        <row r="309">
          <cell r="I309">
            <v>195365</v>
          </cell>
          <cell r="N309">
            <v>195365</v>
          </cell>
        </row>
        <row r="310">
          <cell r="I310">
            <v>442961</v>
          </cell>
          <cell r="N310">
            <v>442961</v>
          </cell>
        </row>
        <row r="320">
          <cell r="I320">
            <v>5500</v>
          </cell>
          <cell r="N320">
            <v>5500</v>
          </cell>
        </row>
        <row r="321">
          <cell r="I321">
            <v>9635</v>
          </cell>
          <cell r="N321">
            <v>9635</v>
          </cell>
        </row>
        <row r="322">
          <cell r="I322">
            <v>120390</v>
          </cell>
          <cell r="N322">
            <v>134390</v>
          </cell>
        </row>
        <row r="323">
          <cell r="I323">
            <v>135525</v>
          </cell>
          <cell r="N323">
            <v>149525</v>
          </cell>
        </row>
        <row r="324">
          <cell r="I324"/>
          <cell r="N324"/>
        </row>
        <row r="325">
          <cell r="I325"/>
        </row>
        <row r="326">
          <cell r="I326">
            <v>562100</v>
          </cell>
          <cell r="N326">
            <v>557500</v>
          </cell>
        </row>
        <row r="327">
          <cell r="I327">
            <v>41850</v>
          </cell>
          <cell r="N327">
            <v>47750</v>
          </cell>
        </row>
        <row r="328">
          <cell r="I328">
            <v>1000</v>
          </cell>
          <cell r="N328">
            <v>1500</v>
          </cell>
        </row>
        <row r="329">
          <cell r="I329">
            <v>4400</v>
          </cell>
          <cell r="N329">
            <v>11000</v>
          </cell>
        </row>
        <row r="330">
          <cell r="I330">
            <v>2050</v>
          </cell>
          <cell r="N330">
            <v>2050</v>
          </cell>
        </row>
        <row r="331">
          <cell r="I331">
            <v>118500</v>
          </cell>
          <cell r="N331">
            <v>135000</v>
          </cell>
        </row>
        <row r="332">
          <cell r="I332">
            <v>1935</v>
          </cell>
          <cell r="N332">
            <v>1650</v>
          </cell>
        </row>
        <row r="333">
          <cell r="I333">
            <v>46800</v>
          </cell>
          <cell r="N333">
            <v>47500</v>
          </cell>
        </row>
        <row r="334">
          <cell r="I334">
            <v>78600</v>
          </cell>
          <cell r="N334">
            <v>79000</v>
          </cell>
        </row>
        <row r="335">
          <cell r="I335">
            <v>350</v>
          </cell>
          <cell r="N335">
            <v>350</v>
          </cell>
        </row>
        <row r="336">
          <cell r="I336">
            <v>1551</v>
          </cell>
          <cell r="N336">
            <v>1551</v>
          </cell>
        </row>
        <row r="337">
          <cell r="I337">
            <v>500000</v>
          </cell>
          <cell r="N337">
            <v>550000</v>
          </cell>
        </row>
        <row r="338">
          <cell r="I338">
            <v>32880</v>
          </cell>
          <cell r="N338">
            <v>32880</v>
          </cell>
        </row>
        <row r="339">
          <cell r="I339">
            <v>0</v>
          </cell>
          <cell r="N339">
            <v>0</v>
          </cell>
        </row>
        <row r="340">
          <cell r="I340">
            <v>7780</v>
          </cell>
          <cell r="N340">
            <v>7780</v>
          </cell>
        </row>
        <row r="341">
          <cell r="I341">
            <v>5000</v>
          </cell>
          <cell r="N341">
            <v>4820</v>
          </cell>
        </row>
        <row r="342">
          <cell r="I342">
            <v>44790</v>
          </cell>
          <cell r="N342">
            <v>53988</v>
          </cell>
        </row>
        <row r="343">
          <cell r="I343">
            <v>115303</v>
          </cell>
          <cell r="N343">
            <v>116623</v>
          </cell>
        </row>
        <row r="344">
          <cell r="I344">
            <v>6000</v>
          </cell>
          <cell r="N344">
            <v>6000</v>
          </cell>
        </row>
        <row r="345">
          <cell r="I345">
            <v>14152</v>
          </cell>
          <cell r="N345">
            <v>18615</v>
          </cell>
        </row>
        <row r="346">
          <cell r="I346">
            <v>5250</v>
          </cell>
          <cell r="N346">
            <v>5000</v>
          </cell>
        </row>
        <row r="347">
          <cell r="I347">
            <v>400</v>
          </cell>
          <cell r="N347">
            <v>400</v>
          </cell>
        </row>
        <row r="348">
          <cell r="I348">
            <v>4800</v>
          </cell>
          <cell r="N348">
            <v>8050</v>
          </cell>
        </row>
        <row r="349">
          <cell r="I349">
            <v>24504</v>
          </cell>
          <cell r="N349">
            <v>24504</v>
          </cell>
        </row>
        <row r="350">
          <cell r="I350">
            <v>7266</v>
          </cell>
          <cell r="N350">
            <v>9000</v>
          </cell>
        </row>
        <row r="351">
          <cell r="N351">
            <v>2500</v>
          </cell>
        </row>
        <row r="352">
          <cell r="N352">
            <v>10671</v>
          </cell>
        </row>
        <row r="353">
          <cell r="N353">
            <v>250</v>
          </cell>
        </row>
        <row r="354">
          <cell r="N354">
            <v>10000</v>
          </cell>
        </row>
        <row r="355">
          <cell r="N355">
            <v>2000</v>
          </cell>
        </row>
        <row r="356">
          <cell r="N356">
            <v>14000</v>
          </cell>
        </row>
        <row r="360">
          <cell r="I360">
            <v>88100</v>
          </cell>
          <cell r="N360">
            <v>85000</v>
          </cell>
        </row>
        <row r="361">
          <cell r="I361">
            <v>3000</v>
          </cell>
          <cell r="N361">
            <v>3500</v>
          </cell>
        </row>
        <row r="362">
          <cell r="I362">
            <v>0</v>
          </cell>
          <cell r="N362">
            <v>2960</v>
          </cell>
        </row>
        <row r="363">
          <cell r="I363">
            <v>0</v>
          </cell>
          <cell r="N363">
            <v>0</v>
          </cell>
        </row>
        <row r="364">
          <cell r="I364">
            <v>20146</v>
          </cell>
          <cell r="N364">
            <v>11000</v>
          </cell>
        </row>
        <row r="365">
          <cell r="I365">
            <v>948.6</v>
          </cell>
          <cell r="N365">
            <v>0</v>
          </cell>
        </row>
        <row r="366">
          <cell r="I366">
            <v>7000</v>
          </cell>
          <cell r="N366">
            <v>7000</v>
          </cell>
        </row>
        <row r="367">
          <cell r="I367">
            <v>12600</v>
          </cell>
          <cell r="N367">
            <v>12600</v>
          </cell>
        </row>
        <row r="368">
          <cell r="I368">
            <v>54</v>
          </cell>
          <cell r="N368">
            <v>54</v>
          </cell>
        </row>
        <row r="369">
          <cell r="I369">
            <v>1948</v>
          </cell>
          <cell r="N369">
            <v>1948</v>
          </cell>
        </row>
        <row r="370">
          <cell r="I370">
            <v>7700</v>
          </cell>
          <cell r="N370">
            <v>7700</v>
          </cell>
        </row>
        <row r="371">
          <cell r="I371">
            <v>66130</v>
          </cell>
          <cell r="N371">
            <v>66130</v>
          </cell>
        </row>
        <row r="372">
          <cell r="I372">
            <v>175000</v>
          </cell>
          <cell r="N372">
            <v>254000</v>
          </cell>
        </row>
        <row r="373">
          <cell r="I373">
            <v>109673</v>
          </cell>
          <cell r="N373">
            <v>90000</v>
          </cell>
        </row>
        <row r="374">
          <cell r="I374">
            <v>34500</v>
          </cell>
          <cell r="N374">
            <v>34500</v>
          </cell>
        </row>
        <row r="375">
          <cell r="I375">
            <v>50000</v>
          </cell>
          <cell r="N375">
            <v>64000</v>
          </cell>
        </row>
        <row r="376">
          <cell r="N376">
            <v>1000</v>
          </cell>
        </row>
        <row r="377">
          <cell r="N377">
            <v>23824</v>
          </cell>
        </row>
        <row r="378">
          <cell r="N378">
            <v>200</v>
          </cell>
        </row>
        <row r="379">
          <cell r="N379">
            <v>1800</v>
          </cell>
        </row>
        <row r="380">
          <cell r="N380">
            <v>9200</v>
          </cell>
        </row>
        <row r="381">
          <cell r="I381">
            <v>4900</v>
          </cell>
          <cell r="N381">
            <v>0</v>
          </cell>
        </row>
        <row r="382">
          <cell r="I382">
            <v>2500</v>
          </cell>
          <cell r="N382">
            <v>4000</v>
          </cell>
        </row>
        <row r="383">
          <cell r="I383">
            <v>0</v>
          </cell>
          <cell r="N383">
            <v>0</v>
          </cell>
        </row>
        <row r="385">
          <cell r="I385"/>
        </row>
        <row r="387">
          <cell r="I387">
            <v>152900</v>
          </cell>
          <cell r="N387">
            <v>107500</v>
          </cell>
        </row>
        <row r="388">
          <cell r="I388">
            <v>3500</v>
          </cell>
          <cell r="N388">
            <v>3500</v>
          </cell>
        </row>
        <row r="389">
          <cell r="I389">
            <v>6000</v>
          </cell>
          <cell r="N389">
            <v>10500</v>
          </cell>
        </row>
        <row r="390">
          <cell r="I390">
            <v>0</v>
          </cell>
          <cell r="N390">
            <v>0</v>
          </cell>
        </row>
        <row r="391">
          <cell r="I391">
            <v>1100</v>
          </cell>
          <cell r="N391">
            <v>650</v>
          </cell>
        </row>
        <row r="392">
          <cell r="I392">
            <v>40669</v>
          </cell>
          <cell r="N392">
            <v>20500</v>
          </cell>
        </row>
        <row r="393">
          <cell r="I393">
            <v>1422.9</v>
          </cell>
          <cell r="N393">
            <v>0</v>
          </cell>
        </row>
        <row r="394">
          <cell r="I394">
            <v>12100</v>
          </cell>
          <cell r="N394">
            <v>9950</v>
          </cell>
        </row>
        <row r="395">
          <cell r="I395">
            <v>21900</v>
          </cell>
          <cell r="N395">
            <v>16445</v>
          </cell>
        </row>
        <row r="396">
          <cell r="I396">
            <v>81</v>
          </cell>
          <cell r="N396">
            <v>81</v>
          </cell>
        </row>
        <row r="397">
          <cell r="I397">
            <v>2700</v>
          </cell>
          <cell r="N397">
            <v>2700</v>
          </cell>
        </row>
        <row r="398">
          <cell r="I398">
            <v>1500</v>
          </cell>
          <cell r="N398">
            <v>1500</v>
          </cell>
        </row>
        <row r="399">
          <cell r="I399">
            <v>600</v>
          </cell>
          <cell r="N399">
            <v>400</v>
          </cell>
        </row>
        <row r="400">
          <cell r="I400">
            <v>0</v>
          </cell>
          <cell r="N400">
            <v>0</v>
          </cell>
        </row>
        <row r="403">
          <cell r="I403"/>
        </row>
        <row r="404">
          <cell r="I404">
            <v>1442627</v>
          </cell>
          <cell r="N404">
            <v>1380000</v>
          </cell>
        </row>
        <row r="405">
          <cell r="I405">
            <v>4440</v>
          </cell>
          <cell r="N405">
            <v>10000</v>
          </cell>
        </row>
        <row r="406">
          <cell r="I406">
            <v>2500</v>
          </cell>
          <cell r="N406">
            <v>1000</v>
          </cell>
        </row>
        <row r="407">
          <cell r="I407">
            <v>0</v>
          </cell>
          <cell r="N407">
            <v>4702</v>
          </cell>
        </row>
        <row r="408">
          <cell r="I408">
            <v>1449567</v>
          </cell>
          <cell r="N408">
            <v>1395702</v>
          </cell>
        </row>
        <row r="409">
          <cell r="I409"/>
        </row>
        <row r="410">
          <cell r="I410"/>
        </row>
        <row r="411">
          <cell r="I411">
            <v>3103300</v>
          </cell>
          <cell r="N411">
            <v>2900000</v>
          </cell>
        </row>
        <row r="412">
          <cell r="I412">
            <v>100000</v>
          </cell>
          <cell r="N412">
            <v>85000</v>
          </cell>
        </row>
        <row r="413">
          <cell r="I413">
            <v>397800</v>
          </cell>
          <cell r="N413">
            <v>337000</v>
          </cell>
        </row>
        <row r="414">
          <cell r="I414">
            <v>250000</v>
          </cell>
          <cell r="N414">
            <v>280000</v>
          </cell>
        </row>
        <row r="415">
          <cell r="I415">
            <v>32200</v>
          </cell>
          <cell r="N415">
            <v>97150</v>
          </cell>
        </row>
        <row r="416">
          <cell r="I416">
            <v>1406</v>
          </cell>
          <cell r="N416">
            <v>1406</v>
          </cell>
        </row>
        <row r="417">
          <cell r="I417">
            <v>5650</v>
          </cell>
          <cell r="N417">
            <v>6400</v>
          </cell>
        </row>
        <row r="418">
          <cell r="I418">
            <v>154500</v>
          </cell>
          <cell r="N418">
            <v>154500</v>
          </cell>
        </row>
        <row r="419">
          <cell r="I419">
            <v>1148900</v>
          </cell>
          <cell r="N419">
            <v>800000</v>
          </cell>
        </row>
        <row r="420">
          <cell r="I420">
            <v>4995</v>
          </cell>
          <cell r="N420">
            <v>2750</v>
          </cell>
        </row>
        <row r="421">
          <cell r="I421">
            <v>252332</v>
          </cell>
          <cell r="N421">
            <v>285000</v>
          </cell>
        </row>
        <row r="422">
          <cell r="I422">
            <v>455187</v>
          </cell>
          <cell r="N422">
            <v>470000</v>
          </cell>
        </row>
        <row r="423">
          <cell r="I423">
            <v>2686</v>
          </cell>
          <cell r="N423">
            <v>2686</v>
          </cell>
        </row>
        <row r="424">
          <cell r="I424">
            <v>76672</v>
          </cell>
          <cell r="N424">
            <v>76672</v>
          </cell>
        </row>
        <row r="425">
          <cell r="I425">
            <v>21600</v>
          </cell>
          <cell r="N425">
            <v>10000</v>
          </cell>
        </row>
        <row r="426">
          <cell r="I426">
            <v>1000</v>
          </cell>
          <cell r="N426">
            <v>1200</v>
          </cell>
        </row>
        <row r="427">
          <cell r="I427">
            <v>871500</v>
          </cell>
          <cell r="N427">
            <v>1290000</v>
          </cell>
        </row>
        <row r="428">
          <cell r="I428">
            <v>142500</v>
          </cell>
          <cell r="N428">
            <v>135000</v>
          </cell>
        </row>
        <row r="429">
          <cell r="I429">
            <v>22000</v>
          </cell>
          <cell r="N429">
            <v>27000</v>
          </cell>
        </row>
        <row r="430">
          <cell r="I430">
            <v>5000</v>
          </cell>
          <cell r="N430">
            <v>3500</v>
          </cell>
        </row>
        <row r="431">
          <cell r="I431">
            <v>0</v>
          </cell>
          <cell r="N431">
            <v>-100</v>
          </cell>
        </row>
        <row r="432">
          <cell r="I432">
            <v>0</v>
          </cell>
          <cell r="N432">
            <v>700</v>
          </cell>
        </row>
        <row r="436">
          <cell r="I436">
            <v>121100</v>
          </cell>
          <cell r="N436">
            <v>99000</v>
          </cell>
        </row>
        <row r="437">
          <cell r="I437">
            <v>0</v>
          </cell>
          <cell r="N437">
            <v>50</v>
          </cell>
        </row>
        <row r="438">
          <cell r="I438">
            <v>12000</v>
          </cell>
          <cell r="N438">
            <v>9000</v>
          </cell>
        </row>
        <row r="439">
          <cell r="I439">
            <v>0</v>
          </cell>
          <cell r="N439">
            <v>0</v>
          </cell>
        </row>
        <row r="440">
          <cell r="I440">
            <v>10073</v>
          </cell>
          <cell r="N440">
            <v>10073</v>
          </cell>
        </row>
        <row r="441">
          <cell r="I441">
            <v>474.3</v>
          </cell>
          <cell r="N441">
            <v>0</v>
          </cell>
        </row>
        <row r="442">
          <cell r="I442">
            <v>10300</v>
          </cell>
          <cell r="N442">
            <v>9000</v>
          </cell>
        </row>
        <row r="443">
          <cell r="I443">
            <v>18500</v>
          </cell>
          <cell r="N443">
            <v>15500</v>
          </cell>
        </row>
        <row r="444">
          <cell r="I444">
            <v>81</v>
          </cell>
          <cell r="N444">
            <v>81</v>
          </cell>
        </row>
        <row r="445">
          <cell r="I445">
            <v>2244</v>
          </cell>
          <cell r="N445">
            <v>2244</v>
          </cell>
        </row>
        <row r="446">
          <cell r="I446">
            <v>4000</v>
          </cell>
          <cell r="N446">
            <v>5000</v>
          </cell>
        </row>
        <row r="447">
          <cell r="I447">
            <v>6500</v>
          </cell>
          <cell r="N447">
            <v>6500</v>
          </cell>
        </row>
        <row r="448">
          <cell r="I448">
            <v>600</v>
          </cell>
          <cell r="N448">
            <v>400</v>
          </cell>
        </row>
        <row r="449">
          <cell r="I449">
            <v>-3780</v>
          </cell>
          <cell r="N449">
            <v>-2600</v>
          </cell>
        </row>
        <row r="454">
          <cell r="I454">
            <v>230250</v>
          </cell>
          <cell r="N454">
            <v>220000</v>
          </cell>
        </row>
        <row r="455">
          <cell r="I455">
            <v>56565</v>
          </cell>
          <cell r="N455">
            <v>8000</v>
          </cell>
        </row>
        <row r="456">
          <cell r="I456">
            <v>10000</v>
          </cell>
          <cell r="N456">
            <v>8800</v>
          </cell>
        </row>
        <row r="457">
          <cell r="I457">
            <v>6000</v>
          </cell>
          <cell r="N457">
            <v>5000</v>
          </cell>
        </row>
        <row r="458">
          <cell r="I458">
            <v>552</v>
          </cell>
          <cell r="N458">
            <v>552</v>
          </cell>
        </row>
        <row r="459">
          <cell r="I459">
            <v>950</v>
          </cell>
          <cell r="N459">
            <v>0</v>
          </cell>
        </row>
        <row r="460">
          <cell r="I460">
            <v>81300</v>
          </cell>
          <cell r="N460">
            <v>81300</v>
          </cell>
        </row>
        <row r="461">
          <cell r="I461">
            <v>495</v>
          </cell>
          <cell r="N461">
            <v>120</v>
          </cell>
        </row>
        <row r="462">
          <cell r="I462">
            <v>21240</v>
          </cell>
          <cell r="N462">
            <v>17000</v>
          </cell>
        </row>
        <row r="463">
          <cell r="I463">
            <v>33200</v>
          </cell>
          <cell r="N463">
            <v>35000</v>
          </cell>
        </row>
        <row r="464">
          <cell r="I464">
            <v>188</v>
          </cell>
          <cell r="N464">
            <v>188</v>
          </cell>
        </row>
        <row r="465">
          <cell r="I465">
            <v>7765</v>
          </cell>
          <cell r="N465">
            <v>7765</v>
          </cell>
        </row>
        <row r="466">
          <cell r="I466">
            <v>20000</v>
          </cell>
          <cell r="N466">
            <v>20000</v>
          </cell>
        </row>
        <row r="467">
          <cell r="I467">
            <v>800</v>
          </cell>
          <cell r="N467">
            <v>400</v>
          </cell>
        </row>
        <row r="471">
          <cell r="I471">
            <v>0</v>
          </cell>
          <cell r="N471">
            <v>0</v>
          </cell>
        </row>
        <row r="472">
          <cell r="I472">
            <v>21600</v>
          </cell>
          <cell r="N472">
            <v>18000</v>
          </cell>
        </row>
        <row r="473">
          <cell r="I473">
            <v>12000</v>
          </cell>
          <cell r="N473">
            <v>10425</v>
          </cell>
        </row>
        <row r="474">
          <cell r="I474">
            <v>9000</v>
          </cell>
          <cell r="N474">
            <v>15000</v>
          </cell>
        </row>
        <row r="475">
          <cell r="I475">
            <v>23000</v>
          </cell>
          <cell r="N475">
            <v>17400</v>
          </cell>
        </row>
        <row r="476">
          <cell r="I476">
            <v>150000</v>
          </cell>
          <cell r="N476">
            <v>175000</v>
          </cell>
        </row>
        <row r="477">
          <cell r="I477">
            <v>300000</v>
          </cell>
          <cell r="N477">
            <v>204000</v>
          </cell>
        </row>
        <row r="478">
          <cell r="I478">
            <v>1000</v>
          </cell>
          <cell r="N478">
            <v>0</v>
          </cell>
        </row>
        <row r="479">
          <cell r="I479">
            <v>6500</v>
          </cell>
          <cell r="N479">
            <v>0</v>
          </cell>
        </row>
        <row r="483">
          <cell r="I483">
            <v>260100</v>
          </cell>
          <cell r="N483">
            <v>250000</v>
          </cell>
        </row>
        <row r="484">
          <cell r="I484">
            <v>1000</v>
          </cell>
          <cell r="N484">
            <v>1500</v>
          </cell>
        </row>
        <row r="485">
          <cell r="I485">
            <v>4500</v>
          </cell>
          <cell r="N485">
            <v>13550</v>
          </cell>
        </row>
        <row r="486">
          <cell r="I486">
            <v>0</v>
          </cell>
          <cell r="N486">
            <v>0</v>
          </cell>
        </row>
        <row r="487">
          <cell r="I487">
            <v>1300</v>
          </cell>
          <cell r="N487">
            <v>1300</v>
          </cell>
        </row>
        <row r="488">
          <cell r="I488">
            <v>91900</v>
          </cell>
          <cell r="N488">
            <v>79267</v>
          </cell>
        </row>
        <row r="489">
          <cell r="I489">
            <v>495</v>
          </cell>
          <cell r="N489">
            <v>350</v>
          </cell>
        </row>
        <row r="490">
          <cell r="I490">
            <v>20450</v>
          </cell>
          <cell r="N490">
            <v>20400</v>
          </cell>
        </row>
        <row r="491">
          <cell r="I491">
            <v>36900</v>
          </cell>
          <cell r="N491">
            <v>36800</v>
          </cell>
        </row>
        <row r="492">
          <cell r="I492">
            <v>135</v>
          </cell>
          <cell r="N492">
            <v>135</v>
          </cell>
        </row>
        <row r="493">
          <cell r="I493">
            <v>3915</v>
          </cell>
          <cell r="N493">
            <v>3915</v>
          </cell>
        </row>
        <row r="494">
          <cell r="I494">
            <v>4500</v>
          </cell>
          <cell r="N494">
            <v>5500</v>
          </cell>
        </row>
        <row r="495">
          <cell r="I495">
            <v>5000</v>
          </cell>
          <cell r="N495">
            <v>5000</v>
          </cell>
        </row>
        <row r="499">
          <cell r="I499">
            <v>27300</v>
          </cell>
          <cell r="N499">
            <v>21531</v>
          </cell>
        </row>
        <row r="500">
          <cell r="I500">
            <v>2100</v>
          </cell>
          <cell r="N500">
            <v>1625</v>
          </cell>
        </row>
        <row r="501">
          <cell r="I501">
            <v>81</v>
          </cell>
          <cell r="N501">
            <v>81</v>
          </cell>
        </row>
        <row r="502">
          <cell r="I502">
            <v>270</v>
          </cell>
          <cell r="N502">
            <v>270</v>
          </cell>
        </row>
        <row r="503">
          <cell r="I503">
            <v>1500</v>
          </cell>
          <cell r="N503">
            <v>1500</v>
          </cell>
        </row>
      </sheetData>
      <sheetData sheetId="1">
        <row r="5">
          <cell r="L5">
            <v>80000</v>
          </cell>
        </row>
        <row r="11">
          <cell r="L11">
            <v>351901.21</v>
          </cell>
        </row>
        <row r="12">
          <cell r="L12">
            <v>70000</v>
          </cell>
        </row>
        <row r="13">
          <cell r="L13">
            <v>297740</v>
          </cell>
        </row>
        <row r="14">
          <cell r="L14">
            <v>1320</v>
          </cell>
        </row>
        <row r="15">
          <cell r="L15">
            <v>26904</v>
          </cell>
        </row>
        <row r="19">
          <cell r="L19">
            <v>320000</v>
          </cell>
        </row>
        <row r="32">
          <cell r="L32">
            <v>85000</v>
          </cell>
        </row>
        <row r="33">
          <cell r="L33">
            <v>370000</v>
          </cell>
        </row>
        <row r="34">
          <cell r="L34">
            <v>63000</v>
          </cell>
        </row>
        <row r="35">
          <cell r="L35">
            <v>40000</v>
          </cell>
        </row>
        <row r="41">
          <cell r="L41">
            <v>8500</v>
          </cell>
        </row>
        <row r="42">
          <cell r="L42">
            <v>15000</v>
          </cell>
        </row>
        <row r="43">
          <cell r="L43">
            <v>200</v>
          </cell>
        </row>
        <row r="44">
          <cell r="L44">
            <v>0</v>
          </cell>
        </row>
        <row r="45">
          <cell r="L45">
            <v>13400</v>
          </cell>
        </row>
        <row r="46">
          <cell r="L46">
            <v>14400</v>
          </cell>
        </row>
        <row r="47">
          <cell r="L47">
            <v>7000</v>
          </cell>
        </row>
        <row r="51">
          <cell r="L51">
            <v>2448</v>
          </cell>
        </row>
        <row r="52">
          <cell r="L52">
            <v>3050</v>
          </cell>
        </row>
        <row r="58">
          <cell r="L58">
            <v>279223</v>
          </cell>
        </row>
        <row r="59">
          <cell r="L59">
            <v>59000</v>
          </cell>
        </row>
        <row r="65">
          <cell r="L65">
            <v>2473797</v>
          </cell>
        </row>
        <row r="66">
          <cell r="L66">
            <v>780000</v>
          </cell>
        </row>
        <row r="67">
          <cell r="L67">
            <v>4000000</v>
          </cell>
        </row>
        <row r="68">
          <cell r="L68">
            <v>1021878</v>
          </cell>
        </row>
        <row r="69">
          <cell r="L69">
            <v>225000</v>
          </cell>
        </row>
        <row r="70">
          <cell r="L70">
            <v>470000</v>
          </cell>
        </row>
        <row r="71">
          <cell r="L71">
            <v>1375000</v>
          </cell>
        </row>
        <row r="72">
          <cell r="L72">
            <v>135000</v>
          </cell>
        </row>
        <row r="73">
          <cell r="L73">
            <v>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"/>
      <sheetName val="Revenue"/>
    </sheetNames>
    <sheetDataSet>
      <sheetData sheetId="0">
        <row r="4">
          <cell r="K4">
            <v>2580</v>
          </cell>
        </row>
        <row r="5">
          <cell r="K5">
            <v>5718.75</v>
          </cell>
        </row>
        <row r="6">
          <cell r="K6">
            <v>811.75</v>
          </cell>
        </row>
        <row r="7">
          <cell r="K7">
            <v>1303.04</v>
          </cell>
        </row>
        <row r="11">
          <cell r="K11">
            <v>511400.41</v>
          </cell>
        </row>
        <row r="12">
          <cell r="K12">
            <v>67985.05</v>
          </cell>
        </row>
        <row r="13">
          <cell r="K13">
            <v>89164</v>
          </cell>
        </row>
        <row r="14">
          <cell r="K14">
            <v>519.39</v>
          </cell>
        </row>
        <row r="15">
          <cell r="K15">
            <v>5047.41</v>
          </cell>
        </row>
        <row r="16">
          <cell r="K16">
            <v>560</v>
          </cell>
        </row>
        <row r="17">
          <cell r="K17">
            <v>120923.02</v>
          </cell>
        </row>
        <row r="18">
          <cell r="K18">
            <v>50352.42</v>
          </cell>
        </row>
        <row r="19">
          <cell r="K19">
            <v>83715.23</v>
          </cell>
        </row>
        <row r="20">
          <cell r="K20">
            <v>357.74</v>
          </cell>
        </row>
        <row r="21">
          <cell r="K21">
            <v>1774</v>
          </cell>
        </row>
        <row r="22">
          <cell r="K22">
            <v>5139.6499999999996</v>
          </cell>
        </row>
        <row r="23">
          <cell r="K23">
            <v>907.96</v>
          </cell>
        </row>
        <row r="24">
          <cell r="K24">
            <v>768</v>
          </cell>
        </row>
        <row r="25">
          <cell r="K25">
            <v>11887.8</v>
          </cell>
        </row>
        <row r="26">
          <cell r="K26">
            <v>16873.63</v>
          </cell>
        </row>
        <row r="27">
          <cell r="K27">
            <v>20079.54</v>
          </cell>
        </row>
        <row r="28">
          <cell r="K28">
            <v>165</v>
          </cell>
        </row>
        <row r="29">
          <cell r="K29">
            <v>3247.79</v>
          </cell>
        </row>
        <row r="30">
          <cell r="K30">
            <v>5170.04</v>
          </cell>
        </row>
        <row r="31">
          <cell r="K31">
            <v>0</v>
          </cell>
        </row>
        <row r="32">
          <cell r="K32">
            <v>1800</v>
          </cell>
        </row>
        <row r="33">
          <cell r="K33">
            <v>199</v>
          </cell>
        </row>
        <row r="34">
          <cell r="K34">
            <v>1072.1500000000001</v>
          </cell>
        </row>
        <row r="35">
          <cell r="K35">
            <v>2852.93</v>
          </cell>
        </row>
        <row r="36">
          <cell r="K36">
            <v>1161.4100000000001</v>
          </cell>
        </row>
        <row r="37">
          <cell r="K37">
            <v>1415.44</v>
          </cell>
        </row>
        <row r="38">
          <cell r="K38">
            <v>2980.83</v>
          </cell>
        </row>
        <row r="42">
          <cell r="K42">
            <v>202590.61</v>
          </cell>
        </row>
        <row r="43">
          <cell r="K43">
            <v>29712</v>
          </cell>
        </row>
        <row r="44">
          <cell r="K44">
            <v>1559.4</v>
          </cell>
        </row>
        <row r="45">
          <cell r="K45">
            <v>5638.08</v>
          </cell>
        </row>
        <row r="46">
          <cell r="K46">
            <v>380</v>
          </cell>
        </row>
        <row r="47">
          <cell r="K47">
            <v>31877</v>
          </cell>
        </row>
        <row r="48">
          <cell r="K48">
            <v>17543.47</v>
          </cell>
        </row>
        <row r="49">
          <cell r="K49">
            <v>28843.66</v>
          </cell>
        </row>
        <row r="50">
          <cell r="K50">
            <v>59.62</v>
          </cell>
        </row>
        <row r="51">
          <cell r="K51">
            <v>584</v>
          </cell>
        </row>
        <row r="52">
          <cell r="K52">
            <v>806.07</v>
          </cell>
        </row>
        <row r="53">
          <cell r="K53">
            <v>16500</v>
          </cell>
        </row>
        <row r="54">
          <cell r="K54">
            <v>10076</v>
          </cell>
        </row>
        <row r="55">
          <cell r="K55">
            <v>2211.9899999999998</v>
          </cell>
        </row>
        <row r="56">
          <cell r="K56">
            <v>3294.12</v>
          </cell>
        </row>
        <row r="57">
          <cell r="K57">
            <v>29951.15</v>
          </cell>
        </row>
        <row r="58">
          <cell r="K58">
            <v>0</v>
          </cell>
        </row>
        <row r="59">
          <cell r="K59">
            <v>6789</v>
          </cell>
        </row>
        <row r="60">
          <cell r="K60">
            <v>440</v>
          </cell>
        </row>
        <row r="61">
          <cell r="K61">
            <v>2000</v>
          </cell>
        </row>
        <row r="62">
          <cell r="K62">
            <v>2738.19</v>
          </cell>
        </row>
        <row r="63">
          <cell r="K63">
            <v>377.2</v>
          </cell>
        </row>
        <row r="64">
          <cell r="K64">
            <v>650.42999999999995</v>
          </cell>
        </row>
        <row r="65">
          <cell r="K65">
            <v>1019.02</v>
          </cell>
        </row>
        <row r="69">
          <cell r="K69">
            <v>78430.679999999993</v>
          </cell>
        </row>
        <row r="70">
          <cell r="K70">
            <v>61916.72</v>
          </cell>
        </row>
        <row r="71">
          <cell r="K71">
            <v>1702</v>
          </cell>
        </row>
        <row r="72">
          <cell r="K72">
            <v>16728.349999999999</v>
          </cell>
        </row>
        <row r="73">
          <cell r="K73">
            <v>337.97</v>
          </cell>
        </row>
        <row r="74">
          <cell r="K74">
            <v>13469.32</v>
          </cell>
        </row>
        <row r="78">
          <cell r="K78">
            <v>191385.47</v>
          </cell>
        </row>
        <row r="79">
          <cell r="K79">
            <v>0</v>
          </cell>
        </row>
        <row r="80">
          <cell r="K80">
            <v>3960.96</v>
          </cell>
        </row>
        <row r="81">
          <cell r="K81">
            <v>49.31</v>
          </cell>
        </row>
        <row r="83">
          <cell r="K83">
            <v>280</v>
          </cell>
        </row>
        <row r="84">
          <cell r="K84">
            <v>46280.35</v>
          </cell>
        </row>
        <row r="85">
          <cell r="K85">
            <v>14534.75</v>
          </cell>
        </row>
        <row r="86">
          <cell r="K86">
            <v>26567.68</v>
          </cell>
        </row>
        <row r="87">
          <cell r="K87">
            <v>89.43</v>
          </cell>
        </row>
        <row r="88">
          <cell r="K88">
            <v>459</v>
          </cell>
        </row>
        <row r="89">
          <cell r="K89">
            <v>456.01</v>
          </cell>
        </row>
        <row r="90">
          <cell r="K90">
            <v>249</v>
          </cell>
        </row>
        <row r="91">
          <cell r="K91">
            <v>1177.7</v>
          </cell>
        </row>
        <row r="92">
          <cell r="K92">
            <v>3652.35</v>
          </cell>
        </row>
        <row r="93">
          <cell r="K93">
            <v>1033.82</v>
          </cell>
        </row>
        <row r="96">
          <cell r="K96"/>
        </row>
        <row r="97">
          <cell r="K97">
            <v>91519.87</v>
          </cell>
        </row>
        <row r="98">
          <cell r="K98">
            <v>8282.18</v>
          </cell>
        </row>
        <row r="99">
          <cell r="K99">
            <v>68415</v>
          </cell>
        </row>
        <row r="100">
          <cell r="K100">
            <v>7935.82</v>
          </cell>
        </row>
        <row r="101">
          <cell r="K101">
            <v>280</v>
          </cell>
        </row>
        <row r="102">
          <cell r="K102">
            <v>49088.160000000003</v>
          </cell>
        </row>
        <row r="103">
          <cell r="K103">
            <v>12972.36</v>
          </cell>
        </row>
        <row r="104">
          <cell r="K104">
            <v>22544.69</v>
          </cell>
        </row>
        <row r="105">
          <cell r="K105">
            <v>29.81</v>
          </cell>
        </row>
        <row r="106">
          <cell r="K106">
            <v>407</v>
          </cell>
        </row>
        <row r="107">
          <cell r="K107">
            <v>1396.36</v>
          </cell>
        </row>
        <row r="108">
          <cell r="K108">
            <v>60435</v>
          </cell>
        </row>
        <row r="109">
          <cell r="K109">
            <v>966.12</v>
          </cell>
        </row>
        <row r="110">
          <cell r="K110">
            <v>21990</v>
          </cell>
        </row>
        <row r="111">
          <cell r="K111">
            <v>5037.8</v>
          </cell>
        </row>
        <row r="112">
          <cell r="K112">
            <v>1276.79</v>
          </cell>
        </row>
        <row r="113">
          <cell r="K113">
            <v>28599</v>
          </cell>
        </row>
        <row r="114">
          <cell r="K114">
            <v>5057.74</v>
          </cell>
        </row>
        <row r="115">
          <cell r="K115">
            <v>103.25</v>
          </cell>
        </row>
        <row r="116">
          <cell r="K116">
            <v>310</v>
          </cell>
        </row>
        <row r="117">
          <cell r="K117">
            <v>1787.77</v>
          </cell>
        </row>
        <row r="118">
          <cell r="K118">
            <v>110.22</v>
          </cell>
        </row>
        <row r="119">
          <cell r="K119">
            <v>357.54</v>
          </cell>
        </row>
        <row r="120">
          <cell r="K120">
            <v>1163.6199999999999</v>
          </cell>
        </row>
        <row r="121">
          <cell r="K121">
            <v>3625</v>
          </cell>
        </row>
        <row r="125">
          <cell r="K125">
            <v>202451.7</v>
          </cell>
        </row>
        <row r="126">
          <cell r="K126">
            <v>172.5</v>
          </cell>
        </row>
        <row r="127">
          <cell r="K127">
            <v>1797.73</v>
          </cell>
        </row>
        <row r="128">
          <cell r="K128">
            <v>1354.5</v>
          </cell>
        </row>
        <row r="129">
          <cell r="K129">
            <v>560</v>
          </cell>
        </row>
        <row r="130">
          <cell r="K130">
            <v>53888</v>
          </cell>
        </row>
        <row r="131">
          <cell r="K131">
            <v>15259.85</v>
          </cell>
        </row>
        <row r="132">
          <cell r="K132">
            <v>28645.47</v>
          </cell>
        </row>
        <row r="133">
          <cell r="K133">
            <v>119.25</v>
          </cell>
        </row>
        <row r="134">
          <cell r="K134">
            <v>8290</v>
          </cell>
        </row>
        <row r="135">
          <cell r="K135">
            <v>10144</v>
          </cell>
        </row>
        <row r="136">
          <cell r="K136">
            <v>2715.07</v>
          </cell>
        </row>
        <row r="137">
          <cell r="K137">
            <v>6988.78</v>
          </cell>
        </row>
        <row r="138">
          <cell r="K138">
            <v>26754.18</v>
          </cell>
        </row>
        <row r="139">
          <cell r="K139">
            <v>5996.45</v>
          </cell>
        </row>
        <row r="140">
          <cell r="K140">
            <v>117255.88</v>
          </cell>
        </row>
        <row r="141">
          <cell r="K141">
            <v>71723.820000000007</v>
          </cell>
        </row>
        <row r="142">
          <cell r="K142">
            <v>31855.65</v>
          </cell>
        </row>
        <row r="143">
          <cell r="K143">
            <v>27563.41</v>
          </cell>
        </row>
        <row r="144">
          <cell r="K144">
            <v>16421.23</v>
          </cell>
        </row>
        <row r="145">
          <cell r="K145">
            <v>4024.89</v>
          </cell>
        </row>
        <row r="146">
          <cell r="K146">
            <v>7821.32</v>
          </cell>
        </row>
        <row r="147">
          <cell r="K147">
            <v>0</v>
          </cell>
        </row>
        <row r="148">
          <cell r="K148">
            <v>54.38</v>
          </cell>
        </row>
        <row r="149">
          <cell r="K149">
            <v>3183.61</v>
          </cell>
        </row>
        <row r="150">
          <cell r="K150">
            <v>2229.83</v>
          </cell>
        </row>
        <row r="151">
          <cell r="K151">
            <v>22164</v>
          </cell>
        </row>
        <row r="152">
          <cell r="K152">
            <v>500</v>
          </cell>
        </row>
        <row r="160">
          <cell r="K160">
            <v>597920.17000000004</v>
          </cell>
        </row>
        <row r="161">
          <cell r="K161">
            <v>344321.6</v>
          </cell>
        </row>
        <row r="162">
          <cell r="K162">
            <v>63618.81</v>
          </cell>
        </row>
        <row r="163">
          <cell r="K163">
            <v>13960.96</v>
          </cell>
        </row>
        <row r="164">
          <cell r="K164">
            <v>269324.42</v>
          </cell>
        </row>
        <row r="165">
          <cell r="K165">
            <v>74304</v>
          </cell>
        </row>
        <row r="166">
          <cell r="K166">
            <v>35400</v>
          </cell>
        </row>
        <row r="167">
          <cell r="K167">
            <v>19032.45</v>
          </cell>
        </row>
        <row r="168">
          <cell r="K168">
            <v>524.52</v>
          </cell>
        </row>
        <row r="169">
          <cell r="K169">
            <v>54116.57</v>
          </cell>
        </row>
        <row r="170">
          <cell r="K170">
            <v>18557.599999999999</v>
          </cell>
        </row>
        <row r="171">
          <cell r="K171">
            <v>4251.6000000000004</v>
          </cell>
        </row>
        <row r="172">
          <cell r="K172">
            <v>2560</v>
          </cell>
        </row>
        <row r="173">
          <cell r="K173">
            <v>223631.17</v>
          </cell>
        </row>
        <row r="174">
          <cell r="K174">
            <v>76860.55</v>
          </cell>
        </row>
        <row r="175">
          <cell r="K175">
            <v>243499.11</v>
          </cell>
        </row>
        <row r="176">
          <cell r="K176">
            <v>1669.45</v>
          </cell>
        </row>
        <row r="177">
          <cell r="K177">
            <v>24067</v>
          </cell>
        </row>
        <row r="178">
          <cell r="K178">
            <v>18458.82</v>
          </cell>
        </row>
        <row r="179">
          <cell r="K179">
            <v>600.24</v>
          </cell>
        </row>
        <row r="180">
          <cell r="K180">
            <v>27310.720000000001</v>
          </cell>
        </row>
        <row r="181">
          <cell r="K181">
            <v>27487.360000000001</v>
          </cell>
        </row>
        <row r="182">
          <cell r="K182">
            <v>22428.14</v>
          </cell>
        </row>
        <row r="183">
          <cell r="K183">
            <v>7005.23</v>
          </cell>
        </row>
        <row r="184">
          <cell r="K184">
            <v>3354.93</v>
          </cell>
        </row>
        <row r="185">
          <cell r="K185">
            <v>24985.5</v>
          </cell>
        </row>
        <row r="186">
          <cell r="K186">
            <v>204</v>
          </cell>
        </row>
        <row r="188">
          <cell r="K188">
            <v>468.49</v>
          </cell>
        </row>
        <row r="189">
          <cell r="K189">
            <v>1465</v>
          </cell>
        </row>
        <row r="190">
          <cell r="K190">
            <v>423.63</v>
          </cell>
        </row>
        <row r="191">
          <cell r="K191">
            <v>255</v>
          </cell>
        </row>
        <row r="192">
          <cell r="K192">
            <v>5258.77</v>
          </cell>
        </row>
        <row r="193">
          <cell r="K193">
            <v>4694.8599999999997</v>
          </cell>
        </row>
        <row r="194">
          <cell r="K194">
            <v>6627.03</v>
          </cell>
        </row>
        <row r="195">
          <cell r="K195">
            <v>345.09</v>
          </cell>
        </row>
        <row r="196">
          <cell r="K196">
            <v>6525.06</v>
          </cell>
        </row>
        <row r="197">
          <cell r="K197">
            <v>6227.22</v>
          </cell>
        </row>
        <row r="198">
          <cell r="K198">
            <v>2530.13</v>
          </cell>
        </row>
        <row r="200">
          <cell r="K200">
            <v>2709.83</v>
          </cell>
        </row>
        <row r="201">
          <cell r="K201">
            <v>23454.31</v>
          </cell>
        </row>
        <row r="202">
          <cell r="K202">
            <v>13533.73</v>
          </cell>
        </row>
        <row r="203">
          <cell r="K203">
            <v>94.5</v>
          </cell>
        </row>
        <row r="204">
          <cell r="K204">
            <v>14282.9</v>
          </cell>
        </row>
        <row r="205">
          <cell r="K205">
            <v>62956.480000000003</v>
          </cell>
        </row>
        <row r="209">
          <cell r="K209">
            <v>1796012.59</v>
          </cell>
        </row>
        <row r="210">
          <cell r="K210">
            <v>180953.60000000001</v>
          </cell>
        </row>
        <row r="211">
          <cell r="K211">
            <v>102928.66</v>
          </cell>
        </row>
        <row r="212">
          <cell r="K212">
            <v>28791.13</v>
          </cell>
        </row>
        <row r="213">
          <cell r="K213">
            <v>1059.93</v>
          </cell>
        </row>
        <row r="214">
          <cell r="K214">
            <v>5010</v>
          </cell>
        </row>
        <row r="215">
          <cell r="K215">
            <v>565752.18000000005</v>
          </cell>
        </row>
        <row r="216">
          <cell r="K216">
            <v>45785.94</v>
          </cell>
        </row>
        <row r="217">
          <cell r="K217">
            <v>621119.25</v>
          </cell>
        </row>
        <row r="218">
          <cell r="K218">
            <v>1609.83</v>
          </cell>
        </row>
        <row r="219">
          <cell r="K219">
            <v>56606</v>
          </cell>
        </row>
        <row r="220">
          <cell r="K220">
            <v>385.24</v>
          </cell>
        </row>
        <row r="221">
          <cell r="K221">
            <v>107250</v>
          </cell>
        </row>
        <row r="222">
          <cell r="K222">
            <v>0</v>
          </cell>
        </row>
        <row r="223">
          <cell r="K223">
            <v>3900</v>
          </cell>
        </row>
        <row r="224">
          <cell r="K224">
            <v>1362</v>
          </cell>
        </row>
        <row r="225">
          <cell r="K225">
            <v>3251.74</v>
          </cell>
        </row>
        <row r="226">
          <cell r="K226">
            <v>3001.08</v>
          </cell>
        </row>
        <row r="227">
          <cell r="K227">
            <v>588</v>
          </cell>
        </row>
        <row r="228">
          <cell r="K228">
            <v>770776.83</v>
          </cell>
        </row>
        <row r="229">
          <cell r="K229">
            <v>15373.73</v>
          </cell>
        </row>
        <row r="230">
          <cell r="K230">
            <v>0</v>
          </cell>
        </row>
        <row r="231">
          <cell r="K231">
            <v>2313.0500000000002</v>
          </cell>
        </row>
        <row r="232">
          <cell r="K232">
            <v>172866.8</v>
          </cell>
        </row>
        <row r="233">
          <cell r="K233">
            <v>2043.07</v>
          </cell>
        </row>
        <row r="234">
          <cell r="K234">
            <v>15450</v>
          </cell>
        </row>
        <row r="235">
          <cell r="K235">
            <v>3933.89</v>
          </cell>
        </row>
        <row r="236">
          <cell r="K236">
            <v>12252.44</v>
          </cell>
        </row>
        <row r="237">
          <cell r="K237">
            <v>975</v>
          </cell>
        </row>
        <row r="238">
          <cell r="K238">
            <v>3679</v>
          </cell>
        </row>
        <row r="239">
          <cell r="K239">
            <v>1123.3499999999999</v>
          </cell>
        </row>
        <row r="240">
          <cell r="K240">
            <v>486.15</v>
          </cell>
        </row>
        <row r="241">
          <cell r="K241">
            <v>8632.36</v>
          </cell>
        </row>
        <row r="242">
          <cell r="K242">
            <v>6334.28</v>
          </cell>
        </row>
        <row r="243">
          <cell r="K243">
            <v>7832.77</v>
          </cell>
        </row>
        <row r="244">
          <cell r="K244">
            <v>2162.3000000000002</v>
          </cell>
        </row>
        <row r="245">
          <cell r="K245">
            <v>434.66</v>
          </cell>
        </row>
        <row r="246">
          <cell r="K246">
            <v>1033.18</v>
          </cell>
        </row>
        <row r="247">
          <cell r="K247">
            <v>288</v>
          </cell>
        </row>
        <row r="248">
          <cell r="K248">
            <v>2595.86</v>
          </cell>
        </row>
        <row r="249">
          <cell r="K249">
            <v>13788.72</v>
          </cell>
        </row>
        <row r="250">
          <cell r="K250">
            <v>0</v>
          </cell>
        </row>
        <row r="251">
          <cell r="K251">
            <v>1588.56</v>
          </cell>
        </row>
        <row r="252">
          <cell r="K252">
            <v>1817.45</v>
          </cell>
        </row>
        <row r="253">
          <cell r="K253">
            <v>11528.63</v>
          </cell>
        </row>
        <row r="256">
          <cell r="K256"/>
        </row>
        <row r="257">
          <cell r="K257">
            <v>122453.21</v>
          </cell>
        </row>
        <row r="259">
          <cell r="K259">
            <v>9367.6</v>
          </cell>
        </row>
        <row r="260">
          <cell r="K260">
            <v>89.43</v>
          </cell>
        </row>
        <row r="261">
          <cell r="K261">
            <v>263</v>
          </cell>
        </row>
        <row r="262">
          <cell r="K262">
            <v>1565.56</v>
          </cell>
        </row>
        <row r="263">
          <cell r="K263">
            <v>1444.99</v>
          </cell>
        </row>
        <row r="264">
          <cell r="K264">
            <v>3572.08</v>
          </cell>
        </row>
        <row r="265">
          <cell r="K265">
            <v>597.74</v>
          </cell>
        </row>
        <row r="266">
          <cell r="K266">
            <v>160</v>
          </cell>
        </row>
        <row r="267">
          <cell r="K267">
            <v>545.79</v>
          </cell>
        </row>
        <row r="268">
          <cell r="K268">
            <v>24.94</v>
          </cell>
        </row>
        <row r="269">
          <cell r="K269">
            <v>170.79</v>
          </cell>
        </row>
        <row r="270">
          <cell r="K270">
            <v>92.5</v>
          </cell>
        </row>
        <row r="274">
          <cell r="K274">
            <v>7509312</v>
          </cell>
        </row>
        <row r="277">
          <cell r="K277">
            <v>159097</v>
          </cell>
        </row>
        <row r="278">
          <cell r="K278">
            <v>50000</v>
          </cell>
        </row>
        <row r="279">
          <cell r="K279">
            <v>56000</v>
          </cell>
        </row>
        <row r="283">
          <cell r="K283">
            <v>6900</v>
          </cell>
        </row>
        <row r="284">
          <cell r="K284">
            <v>185835</v>
          </cell>
        </row>
        <row r="285">
          <cell r="K285">
            <v>283564.63</v>
          </cell>
        </row>
        <row r="289">
          <cell r="K289">
            <v>211105</v>
          </cell>
        </row>
        <row r="297">
          <cell r="K297">
            <v>4600</v>
          </cell>
        </row>
        <row r="298">
          <cell r="K298">
            <v>9165</v>
          </cell>
        </row>
        <row r="299">
          <cell r="K299">
            <v>21797.870000000003</v>
          </cell>
        </row>
        <row r="303">
          <cell r="K303">
            <v>540180.68000000005</v>
          </cell>
        </row>
        <row r="304">
          <cell r="K304">
            <v>45434.51</v>
          </cell>
        </row>
        <row r="305">
          <cell r="K305">
            <v>1595.78</v>
          </cell>
        </row>
        <row r="306">
          <cell r="K306">
            <v>2067.4499999999998</v>
          </cell>
        </row>
        <row r="307">
          <cell r="K307">
            <v>1720</v>
          </cell>
        </row>
        <row r="308">
          <cell r="K308">
            <v>110788.04</v>
          </cell>
        </row>
        <row r="309">
          <cell r="K309">
            <v>43487.24</v>
          </cell>
        </row>
        <row r="310">
          <cell r="K310">
            <v>76352.37</v>
          </cell>
        </row>
        <row r="311">
          <cell r="K311">
            <v>357.74</v>
          </cell>
        </row>
        <row r="312">
          <cell r="K312">
            <v>1347</v>
          </cell>
        </row>
        <row r="313">
          <cell r="K313">
            <v>480714</v>
          </cell>
        </row>
        <row r="314">
          <cell r="K314">
            <v>19800</v>
          </cell>
        </row>
        <row r="316">
          <cell r="K316">
            <v>5312.27</v>
          </cell>
        </row>
        <row r="317">
          <cell r="K317">
            <v>4687.13</v>
          </cell>
        </row>
        <row r="318">
          <cell r="K318">
            <v>52287.12</v>
          </cell>
        </row>
        <row r="319">
          <cell r="K319">
            <v>101029.43</v>
          </cell>
        </row>
        <row r="320">
          <cell r="K320">
            <v>1702</v>
          </cell>
        </row>
        <row r="321">
          <cell r="K321">
            <v>11163.58</v>
          </cell>
        </row>
        <row r="322">
          <cell r="K322">
            <v>6237</v>
          </cell>
        </row>
        <row r="323">
          <cell r="K323">
            <v>1266.26</v>
          </cell>
        </row>
        <row r="324">
          <cell r="K324">
            <v>5835.26</v>
          </cell>
        </row>
        <row r="325">
          <cell r="K325">
            <v>22275.83</v>
          </cell>
        </row>
        <row r="326">
          <cell r="K326">
            <v>7209.37</v>
          </cell>
        </row>
        <row r="327">
          <cell r="K327">
            <v>1871.5</v>
          </cell>
        </row>
        <row r="328">
          <cell r="K328">
            <v>8408.2900000000009</v>
          </cell>
        </row>
        <row r="329">
          <cell r="K329">
            <v>1883.28</v>
          </cell>
        </row>
        <row r="330">
          <cell r="K330">
            <v>9355.4500000000007</v>
          </cell>
        </row>
        <row r="331">
          <cell r="K331">
            <v>1880.64</v>
          </cell>
        </row>
        <row r="332">
          <cell r="K332">
            <v>7220.31</v>
          </cell>
        </row>
        <row r="336">
          <cell r="K336">
            <v>57345.7</v>
          </cell>
        </row>
        <row r="337">
          <cell r="K337">
            <v>3323.35</v>
          </cell>
        </row>
        <row r="338">
          <cell r="K338">
            <v>1020.22</v>
          </cell>
        </row>
        <row r="339">
          <cell r="K339">
            <v>0</v>
          </cell>
        </row>
        <row r="340">
          <cell r="K340">
            <v>14595.85</v>
          </cell>
        </row>
        <row r="341">
          <cell r="K341">
            <v>4506.24</v>
          </cell>
        </row>
        <row r="342">
          <cell r="K342">
            <v>8530.07</v>
          </cell>
        </row>
        <row r="343">
          <cell r="K343">
            <v>59.62</v>
          </cell>
        </row>
        <row r="344">
          <cell r="K344">
            <v>3254</v>
          </cell>
        </row>
        <row r="345">
          <cell r="K345">
            <v>7218.28</v>
          </cell>
        </row>
        <row r="346">
          <cell r="K346">
            <v>64558.84</v>
          </cell>
        </row>
        <row r="347">
          <cell r="K347">
            <v>153707.04</v>
          </cell>
        </row>
        <row r="348">
          <cell r="K348">
            <v>107564.91</v>
          </cell>
        </row>
        <row r="349">
          <cell r="K349">
            <v>27042.43</v>
          </cell>
        </row>
        <row r="350">
          <cell r="K350">
            <v>60847.81</v>
          </cell>
        </row>
        <row r="351">
          <cell r="K351">
            <v>546.95000000000005</v>
          </cell>
        </row>
        <row r="352">
          <cell r="K352">
            <v>21658.22</v>
          </cell>
        </row>
        <row r="353">
          <cell r="K353">
            <v>114.98</v>
          </cell>
        </row>
        <row r="354">
          <cell r="K354">
            <v>6079.41</v>
          </cell>
        </row>
        <row r="355">
          <cell r="K355">
            <v>3196.34</v>
          </cell>
        </row>
        <row r="356">
          <cell r="K356">
            <v>0</v>
          </cell>
        </row>
        <row r="357">
          <cell r="K357">
            <v>2268.16</v>
          </cell>
        </row>
        <row r="358">
          <cell r="K358">
            <v>0</v>
          </cell>
        </row>
        <row r="362">
          <cell r="K362">
            <v>119124.94</v>
          </cell>
        </row>
        <row r="363">
          <cell r="K363">
            <v>1410.26</v>
          </cell>
        </row>
        <row r="364">
          <cell r="K364">
            <v>6098.1</v>
          </cell>
        </row>
        <row r="365">
          <cell r="K365">
            <v>506.64</v>
          </cell>
        </row>
        <row r="366">
          <cell r="K366">
            <v>650</v>
          </cell>
        </row>
        <row r="367">
          <cell r="K367">
            <v>35058.71</v>
          </cell>
        </row>
        <row r="368">
          <cell r="K368">
            <v>9490.51</v>
          </cell>
        </row>
        <row r="369">
          <cell r="K369">
            <v>17184.240000000002</v>
          </cell>
        </row>
        <row r="370">
          <cell r="K370">
            <v>89.43</v>
          </cell>
        </row>
        <row r="371">
          <cell r="K371">
            <v>3654</v>
          </cell>
        </row>
        <row r="372">
          <cell r="K372">
            <v>1594.12</v>
          </cell>
        </row>
        <row r="373">
          <cell r="K373">
            <v>600</v>
          </cell>
        </row>
        <row r="374">
          <cell r="K374">
            <v>0</v>
          </cell>
        </row>
        <row r="378">
          <cell r="K378">
            <v>1240241.8</v>
          </cell>
        </row>
        <row r="379">
          <cell r="K379">
            <v>5400.13</v>
          </cell>
        </row>
        <row r="380">
          <cell r="K380">
            <v>4722.2299999999996</v>
          </cell>
        </row>
        <row r="381">
          <cell r="K381">
            <v>51962.22</v>
          </cell>
        </row>
        <row r="385">
          <cell r="K385">
            <v>2547576.73</v>
          </cell>
        </row>
        <row r="386">
          <cell r="K386">
            <v>87600</v>
          </cell>
        </row>
        <row r="387">
          <cell r="K387">
            <v>261412.01</v>
          </cell>
        </row>
        <row r="388">
          <cell r="K388">
            <v>263296.65000000002</v>
          </cell>
        </row>
        <row r="389">
          <cell r="K389">
            <v>21568.49</v>
          </cell>
        </row>
        <row r="390">
          <cell r="K390">
            <v>3673.2</v>
          </cell>
        </row>
        <row r="391">
          <cell r="K391">
            <v>5770</v>
          </cell>
        </row>
        <row r="392">
          <cell r="K392">
            <v>142709.79</v>
          </cell>
        </row>
        <row r="393">
          <cell r="K393">
            <v>847277.12</v>
          </cell>
        </row>
        <row r="394">
          <cell r="K394">
            <v>242729.54</v>
          </cell>
        </row>
        <row r="395">
          <cell r="K395">
            <v>394042.37</v>
          </cell>
        </row>
        <row r="396">
          <cell r="K396">
            <v>3429.34</v>
          </cell>
        </row>
        <row r="397">
          <cell r="K397">
            <v>86731</v>
          </cell>
        </row>
        <row r="398">
          <cell r="K398">
            <v>11305.98</v>
          </cell>
        </row>
        <row r="399">
          <cell r="K399">
            <v>1458.5</v>
          </cell>
        </row>
        <row r="400">
          <cell r="K400">
            <v>725302.98</v>
          </cell>
        </row>
        <row r="401">
          <cell r="K401">
            <v>120754.87</v>
          </cell>
        </row>
        <row r="402">
          <cell r="K402">
            <v>26084.09</v>
          </cell>
        </row>
        <row r="403">
          <cell r="K403">
            <v>4109.6000000000004</v>
          </cell>
        </row>
        <row r="404">
          <cell r="K404">
            <v>-197.45</v>
          </cell>
        </row>
        <row r="405">
          <cell r="K405">
            <v>199.99</v>
          </cell>
        </row>
        <row r="409">
          <cell r="K409">
            <v>104733.44</v>
          </cell>
        </row>
        <row r="410">
          <cell r="K410">
            <v>243.5</v>
          </cell>
        </row>
        <row r="411">
          <cell r="K411">
            <v>12000</v>
          </cell>
        </row>
        <row r="412">
          <cell r="K412">
            <v>11553.58</v>
          </cell>
        </row>
        <row r="413">
          <cell r="K413">
            <v>8730.19</v>
          </cell>
        </row>
        <row r="414">
          <cell r="K414">
            <v>14784.3</v>
          </cell>
        </row>
        <row r="415">
          <cell r="K415">
            <v>89.43</v>
          </cell>
        </row>
        <row r="416">
          <cell r="K416">
            <v>2492</v>
          </cell>
        </row>
        <row r="417">
          <cell r="K417">
            <v>5424.43</v>
          </cell>
        </row>
        <row r="418">
          <cell r="K418">
            <v>7695</v>
          </cell>
        </row>
        <row r="419">
          <cell r="K419">
            <v>582.79999999999995</v>
          </cell>
        </row>
        <row r="420">
          <cell r="K420">
            <v>-2313.0500000000002</v>
          </cell>
        </row>
        <row r="425">
          <cell r="K425">
            <v>219094.07</v>
          </cell>
        </row>
        <row r="426">
          <cell r="K426">
            <v>14281.41</v>
          </cell>
        </row>
        <row r="427">
          <cell r="K427">
            <v>8492.4599999999991</v>
          </cell>
        </row>
        <row r="428">
          <cell r="K428">
            <v>4124.84</v>
          </cell>
        </row>
        <row r="429">
          <cell r="K429">
            <v>930</v>
          </cell>
        </row>
        <row r="430">
          <cell r="K430">
            <v>83793.240000000005</v>
          </cell>
        </row>
        <row r="431">
          <cell r="K431">
            <v>17957.13</v>
          </cell>
        </row>
        <row r="432">
          <cell r="K432">
            <v>32135.24</v>
          </cell>
        </row>
        <row r="433">
          <cell r="K433">
            <v>268.3</v>
          </cell>
        </row>
        <row r="434">
          <cell r="K434">
            <v>10289</v>
          </cell>
        </row>
        <row r="435">
          <cell r="K435">
            <v>12763.34</v>
          </cell>
        </row>
        <row r="436">
          <cell r="K436">
            <v>400</v>
          </cell>
        </row>
        <row r="440">
          <cell r="K440">
            <v>18000</v>
          </cell>
        </row>
        <row r="441">
          <cell r="K441">
            <v>9117.9500000000007</v>
          </cell>
        </row>
        <row r="442">
          <cell r="K442">
            <v>8826</v>
          </cell>
        </row>
        <row r="443">
          <cell r="K443">
            <v>17400</v>
          </cell>
        </row>
        <row r="444">
          <cell r="K444">
            <v>116318.49</v>
          </cell>
        </row>
        <row r="445">
          <cell r="K445">
            <v>337371.89</v>
          </cell>
        </row>
        <row r="446">
          <cell r="K446">
            <v>0</v>
          </cell>
        </row>
        <row r="447">
          <cell r="K447">
            <v>0</v>
          </cell>
        </row>
        <row r="451">
          <cell r="K451">
            <v>228206.87</v>
          </cell>
        </row>
        <row r="452">
          <cell r="K452">
            <v>2402.17</v>
          </cell>
        </row>
        <row r="453">
          <cell r="K453">
            <v>4696.2</v>
          </cell>
        </row>
        <row r="454">
          <cell r="K454">
            <v>1280</v>
          </cell>
        </row>
        <row r="455">
          <cell r="K455">
            <v>90664.3</v>
          </cell>
        </row>
        <row r="456">
          <cell r="K456">
            <v>16405.599999999999</v>
          </cell>
        </row>
        <row r="457">
          <cell r="K457">
            <v>32638.68</v>
          </cell>
        </row>
        <row r="458">
          <cell r="K458">
            <v>298.12</v>
          </cell>
        </row>
        <row r="459">
          <cell r="K459">
            <v>4046</v>
          </cell>
        </row>
        <row r="460">
          <cell r="K460">
            <v>3980</v>
          </cell>
        </row>
        <row r="461">
          <cell r="K461">
            <v>4731.5</v>
          </cell>
        </row>
        <row r="465">
          <cell r="K465">
            <v>5443.83</v>
          </cell>
        </row>
        <row r="466">
          <cell r="K466">
            <v>416.45</v>
          </cell>
        </row>
        <row r="467">
          <cell r="K467">
            <v>88.46</v>
          </cell>
        </row>
        <row r="468">
          <cell r="K468">
            <v>273</v>
          </cell>
        </row>
        <row r="469">
          <cell r="K469">
            <v>287.56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enses"/>
      <sheetName val="Revenue"/>
    </sheetNames>
    <sheetDataSet>
      <sheetData sheetId="0"/>
      <sheetData sheetId="1">
        <row r="79">
          <cell r="I79">
            <v>10119633.279999999</v>
          </cell>
          <cell r="K79">
            <v>10417838.070000002</v>
          </cell>
          <cell r="L79">
            <v>12098267.800000001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ori Sharp" id="{D5292E35-55EF-4716-A8D7-B503F61BC888}" userId="S::lsharp@belknapcounty.org::d6f33eb0-6e12-4cb8-8f88-516085c0ec22" providerId="AD"/>
  <person displayName="Debra A. Shackett" id="{133E4E48-D35A-4653-84D9-4175460F6B96}" userId="S::dshackett@belknapcounty.org::218e9b30-4c2f-418f-985f-200468559ee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29" dT="2023-02-16T17:27:57.60" personId="{133E4E48-D35A-4653-84D9-4175460F6B96}" id="{6D94989B-D587-41C2-948D-ED4C93188225}">
    <text>COULD BE $3737</text>
  </threadedComment>
  <threadedComment ref="K948" dT="2023-03-29T13:45:44.93" personId="{D5292E35-55EF-4716-A8D7-B503F61BC888}" id="{7141D5D5-DA1B-4065-A8DC-7DCF5B32FE88}">
    <text>Encumbered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E559-57F1-499B-814A-58755767CF31}">
  <dimension ref="A1:Q970"/>
  <sheetViews>
    <sheetView tabSelected="1" topLeftCell="I3" workbookViewId="0">
      <selection activeCell="O21" sqref="O21"/>
    </sheetView>
  </sheetViews>
  <sheetFormatPr defaultColWidth="11.7109375" defaultRowHeight="15.75" x14ac:dyDescent="0.25"/>
  <cols>
    <col min="1" max="1" width="7.85546875" style="2" customWidth="1"/>
    <col min="2" max="2" width="7.7109375" style="2" customWidth="1"/>
    <col min="3" max="3" width="36.28515625" style="2" customWidth="1"/>
    <col min="4" max="4" width="7" style="2" bestFit="1" customWidth="1"/>
    <col min="5" max="5" width="8.85546875" style="2" bestFit="1" customWidth="1"/>
    <col min="6" max="6" width="9.85546875" style="2" bestFit="1" customWidth="1"/>
    <col min="7" max="7" width="15.7109375" style="2" bestFit="1" customWidth="1"/>
    <col min="8" max="8" width="13.42578125" style="3" bestFit="1" customWidth="1"/>
    <col min="9" max="9" width="13.28515625" style="2" bestFit="1" customWidth="1"/>
    <col min="10" max="13" width="13.28515625" style="4" bestFit="1" customWidth="1"/>
    <col min="14" max="14" width="9.7109375" style="5" bestFit="1" customWidth="1"/>
    <col min="15" max="15" width="11.5703125" style="2" bestFit="1" customWidth="1"/>
    <col min="16" max="16384" width="11.7109375" style="2"/>
  </cols>
  <sheetData>
    <row r="1" spans="1:15" hidden="1" x14ac:dyDescent="0.25">
      <c r="A1" s="1" t="s">
        <v>0</v>
      </c>
      <c r="B1" s="1"/>
    </row>
    <row r="2" spans="1:15" hidden="1" x14ac:dyDescent="0.25">
      <c r="D2" s="6" t="s">
        <v>1</v>
      </c>
      <c r="E2" s="6"/>
      <c r="F2" s="6"/>
    </row>
    <row r="3" spans="1:15" x14ac:dyDescent="0.25">
      <c r="A3" s="7"/>
      <c r="B3" s="8"/>
      <c r="C3" s="5"/>
      <c r="D3" s="9" t="s">
        <v>2</v>
      </c>
      <c r="E3" s="9" t="s">
        <v>3</v>
      </c>
      <c r="F3" s="9"/>
      <c r="G3" s="10" t="s">
        <v>4</v>
      </c>
      <c r="H3" s="11" t="s">
        <v>5</v>
      </c>
      <c r="I3" s="12">
        <v>2023</v>
      </c>
      <c r="J3" s="13" t="s">
        <v>6</v>
      </c>
      <c r="K3" s="13">
        <v>2022</v>
      </c>
      <c r="L3" s="13">
        <v>2021</v>
      </c>
      <c r="M3" s="13">
        <v>2020</v>
      </c>
      <c r="N3" s="12" t="s">
        <v>7</v>
      </c>
      <c r="O3" s="2" t="s">
        <v>8</v>
      </c>
    </row>
    <row r="4" spans="1:15" x14ac:dyDescent="0.25">
      <c r="A4" s="14"/>
      <c r="B4" s="15"/>
      <c r="C4" s="5"/>
      <c r="D4" s="9" t="s">
        <v>9</v>
      </c>
      <c r="E4" s="9" t="s">
        <v>10</v>
      </c>
      <c r="F4" s="9" t="s">
        <v>11</v>
      </c>
      <c r="G4" s="10" t="s">
        <v>12</v>
      </c>
      <c r="H4" s="16" t="s">
        <v>13</v>
      </c>
      <c r="I4" s="17" t="s">
        <v>14</v>
      </c>
      <c r="J4" s="18" t="s">
        <v>15</v>
      </c>
      <c r="K4" s="18" t="s">
        <v>16</v>
      </c>
      <c r="L4" s="18" t="s">
        <v>16</v>
      </c>
      <c r="M4" s="18" t="s">
        <v>16</v>
      </c>
      <c r="N4" s="17" t="s">
        <v>17</v>
      </c>
      <c r="O4" s="17" t="s">
        <v>17</v>
      </c>
    </row>
    <row r="5" spans="1:15" x14ac:dyDescent="0.25">
      <c r="A5" s="5"/>
      <c r="B5" s="5"/>
      <c r="C5" s="5"/>
      <c r="D5" s="5"/>
      <c r="E5" s="5"/>
      <c r="F5" s="5"/>
      <c r="G5" s="5"/>
      <c r="H5" s="19"/>
      <c r="J5" s="20"/>
      <c r="K5" s="20"/>
      <c r="L5" s="20"/>
      <c r="M5" s="20"/>
    </row>
    <row r="6" spans="1:15" s="5" customFormat="1" x14ac:dyDescent="0.25">
      <c r="A6" s="5">
        <v>14110</v>
      </c>
      <c r="B6" s="5" t="s">
        <v>18</v>
      </c>
      <c r="H6" s="21"/>
      <c r="J6" s="22"/>
      <c r="K6" s="22"/>
      <c r="L6" s="22"/>
      <c r="M6" s="22"/>
    </row>
    <row r="7" spans="1:15" x14ac:dyDescent="0.25">
      <c r="A7" s="2">
        <v>14110</v>
      </c>
      <c r="B7" s="2">
        <v>53000</v>
      </c>
      <c r="C7" s="2" t="s">
        <v>19</v>
      </c>
      <c r="G7" s="3"/>
      <c r="H7" s="4">
        <v>3000</v>
      </c>
      <c r="I7" s="2">
        <f>[1]Expense!N4</f>
        <v>3000</v>
      </c>
      <c r="J7" s="4">
        <f>[1]Expense!I4</f>
        <v>3000</v>
      </c>
      <c r="K7" s="4">
        <f>[2]Expense!K4</f>
        <v>2580</v>
      </c>
      <c r="L7" s="4">
        <v>3360</v>
      </c>
      <c r="M7" s="4">
        <v>2980</v>
      </c>
      <c r="N7" s="23">
        <f>(H7-J7)/J7</f>
        <v>0</v>
      </c>
      <c r="O7" s="24">
        <f>+H7-J7</f>
        <v>0</v>
      </c>
    </row>
    <row r="8" spans="1:15" x14ac:dyDescent="0.25">
      <c r="A8" s="2">
        <v>14110</v>
      </c>
      <c r="B8" s="2">
        <v>53200</v>
      </c>
      <c r="C8" s="2" t="s">
        <v>20</v>
      </c>
      <c r="G8" s="3"/>
      <c r="H8" s="4">
        <v>0</v>
      </c>
      <c r="I8" s="2">
        <f>[1]Expense!N5</f>
        <v>0</v>
      </c>
      <c r="J8" s="4">
        <f>[1]Expense!I5</f>
        <v>0</v>
      </c>
      <c r="K8" s="4">
        <f>[2]Expense!K5</f>
        <v>5718.75</v>
      </c>
      <c r="L8" s="4">
        <v>20000</v>
      </c>
      <c r="M8" s="4">
        <v>0</v>
      </c>
      <c r="N8" s="23"/>
      <c r="O8" s="24">
        <f>+H8-J8</f>
        <v>0</v>
      </c>
    </row>
    <row r="9" spans="1:15" x14ac:dyDescent="0.25">
      <c r="A9" s="2">
        <v>14110</v>
      </c>
      <c r="B9" s="2">
        <v>56105</v>
      </c>
      <c r="C9" s="2" t="s">
        <v>21</v>
      </c>
      <c r="G9" s="3"/>
      <c r="H9" s="4">
        <v>650</v>
      </c>
      <c r="I9" s="2">
        <f>[1]Expense!N6</f>
        <v>989</v>
      </c>
      <c r="J9" s="4">
        <f>[1]Expense!I6</f>
        <v>1108</v>
      </c>
      <c r="K9" s="4">
        <f>[2]Expense!K6</f>
        <v>811.75</v>
      </c>
      <c r="L9" s="4">
        <v>735.25</v>
      </c>
      <c r="M9" s="4">
        <v>714</v>
      </c>
      <c r="N9" s="23">
        <f>(H9-J9)/J9</f>
        <v>-0.41335740072202165</v>
      </c>
      <c r="O9" s="24">
        <f>+H9-J9</f>
        <v>-458</v>
      </c>
    </row>
    <row r="10" spans="1:15" x14ac:dyDescent="0.25">
      <c r="A10" s="2">
        <v>14110</v>
      </c>
      <c r="B10" s="2">
        <v>56130</v>
      </c>
      <c r="C10" s="2" t="s">
        <v>22</v>
      </c>
      <c r="G10" s="3"/>
      <c r="H10" s="4">
        <v>1800</v>
      </c>
      <c r="I10" s="2">
        <f>[1]Expense!N7</f>
        <v>1919</v>
      </c>
      <c r="J10" s="4">
        <f>[1]Expense!I7</f>
        <v>1800</v>
      </c>
      <c r="K10" s="4">
        <f>[2]Expense!K7</f>
        <v>1303.04</v>
      </c>
      <c r="L10" s="4">
        <v>1830.31</v>
      </c>
      <c r="M10" s="4">
        <v>1590.85</v>
      </c>
      <c r="N10" s="23">
        <f>(H10-J10)/J10</f>
        <v>0</v>
      </c>
      <c r="O10" s="24">
        <f>+H10-J10</f>
        <v>0</v>
      </c>
    </row>
    <row r="11" spans="1:15" s="5" customFormat="1" x14ac:dyDescent="0.25">
      <c r="A11" s="5" t="s">
        <v>23</v>
      </c>
      <c r="B11" s="5" t="s">
        <v>24</v>
      </c>
      <c r="G11" s="21"/>
      <c r="H11" s="21">
        <f>SUM(H7:H10)</f>
        <v>5450</v>
      </c>
      <c r="I11" s="22">
        <f t="shared" ref="I11:M11" si="0">SUM(I7:I10)</f>
        <v>5908</v>
      </c>
      <c r="J11" s="22">
        <f t="shared" si="0"/>
        <v>5908</v>
      </c>
      <c r="K11" s="22">
        <f>SUM(K7:K10)</f>
        <v>10413.540000000001</v>
      </c>
      <c r="L11" s="22">
        <f t="shared" si="0"/>
        <v>25925.56</v>
      </c>
      <c r="M11" s="22">
        <f t="shared" si="0"/>
        <v>5284.85</v>
      </c>
      <c r="N11" s="23">
        <f>(H11-J11)/J11</f>
        <v>-7.7522004062288416E-2</v>
      </c>
      <c r="O11" s="24">
        <f>+H11-J11</f>
        <v>-458</v>
      </c>
    </row>
    <row r="12" spans="1:15" x14ac:dyDescent="0.25">
      <c r="N12" s="23"/>
    </row>
    <row r="13" spans="1:15" s="5" customFormat="1" x14ac:dyDescent="0.25">
      <c r="A13" s="5">
        <v>14123</v>
      </c>
      <c r="B13" s="5" t="s">
        <v>25</v>
      </c>
      <c r="H13" s="21"/>
      <c r="J13" s="22"/>
      <c r="K13" s="22"/>
      <c r="L13" s="22"/>
      <c r="M13" s="22"/>
      <c r="N13" s="23"/>
    </row>
    <row r="14" spans="1:15" x14ac:dyDescent="0.25">
      <c r="A14" s="2">
        <v>14123</v>
      </c>
      <c r="B14" s="2">
        <v>51100</v>
      </c>
      <c r="C14" s="2" t="s">
        <v>26</v>
      </c>
      <c r="G14" s="3"/>
      <c r="H14" s="4">
        <v>686850</v>
      </c>
      <c r="I14" s="4">
        <f>[1]Expense!N11</f>
        <v>625500</v>
      </c>
      <c r="J14" s="4">
        <f>[1]Expense!I11</f>
        <v>662862</v>
      </c>
      <c r="K14" s="4">
        <f>[2]Expense!K11</f>
        <v>511400.41</v>
      </c>
      <c r="L14" s="4">
        <v>513051.3</v>
      </c>
      <c r="M14" s="4">
        <v>486199.72</v>
      </c>
      <c r="N14" s="23">
        <f>(H14-J14)/J14</f>
        <v>3.6188527928890178E-2</v>
      </c>
      <c r="O14" s="24">
        <f>H14-J14</f>
        <v>23988</v>
      </c>
    </row>
    <row r="15" spans="1:15" x14ac:dyDescent="0.25">
      <c r="A15" s="2">
        <v>14123</v>
      </c>
      <c r="B15" s="2">
        <v>51200</v>
      </c>
      <c r="C15" s="2" t="s">
        <v>27</v>
      </c>
      <c r="G15" s="3"/>
      <c r="H15" s="4">
        <v>45500</v>
      </c>
      <c r="I15" s="4">
        <f>[1]Expense!N12</f>
        <v>59485</v>
      </c>
      <c r="J15" s="4">
        <f>[1]Expense!I12</f>
        <v>53316.67</v>
      </c>
      <c r="K15" s="4">
        <f>[2]Expense!K12</f>
        <v>67985.05</v>
      </c>
      <c r="L15" s="4">
        <v>55340.480000000003</v>
      </c>
      <c r="M15" s="4">
        <v>29624.51</v>
      </c>
      <c r="N15" s="23">
        <f>(H15-J15)/J15</f>
        <v>-0.14660836845211822</v>
      </c>
      <c r="O15" s="24">
        <f>H15-J15</f>
        <v>-7816.6699999999983</v>
      </c>
    </row>
    <row r="16" spans="1:15" x14ac:dyDescent="0.25">
      <c r="A16" s="2">
        <v>14123</v>
      </c>
      <c r="B16" s="2">
        <v>51300</v>
      </c>
      <c r="C16" s="2" t="s">
        <v>28</v>
      </c>
      <c r="G16" s="3"/>
      <c r="H16" s="4">
        <v>98093</v>
      </c>
      <c r="I16" s="4">
        <f>[1]Expense!N13</f>
        <v>98093</v>
      </c>
      <c r="J16" s="4">
        <f>[1]Expense!I13</f>
        <v>98093</v>
      </c>
      <c r="K16" s="4">
        <f>[2]Expense!K13</f>
        <v>89164</v>
      </c>
      <c r="L16" s="4">
        <v>89164</v>
      </c>
      <c r="M16" s="4">
        <v>89164</v>
      </c>
      <c r="N16" s="23">
        <f>(H16-J16)/J16</f>
        <v>0</v>
      </c>
      <c r="O16" s="24">
        <f>H16-J16</f>
        <v>0</v>
      </c>
    </row>
    <row r="17" spans="1:15" x14ac:dyDescent="0.25">
      <c r="A17" s="2">
        <v>14123</v>
      </c>
      <c r="B17" s="2">
        <v>51400</v>
      </c>
      <c r="C17" s="2" t="s">
        <v>29</v>
      </c>
      <c r="G17" s="3"/>
      <c r="H17" s="4"/>
      <c r="I17" s="4">
        <f>[1]Expense!N14</f>
        <v>300</v>
      </c>
      <c r="J17" s="4">
        <f>[1]Expense!I14</f>
        <v>0</v>
      </c>
      <c r="K17" s="4">
        <f>[2]Expense!K14</f>
        <v>519.39</v>
      </c>
      <c r="L17" s="4">
        <v>90.08</v>
      </c>
      <c r="M17" s="4">
        <v>10.91</v>
      </c>
      <c r="N17" s="23"/>
      <c r="O17" s="24">
        <f>H17-J17</f>
        <v>0</v>
      </c>
    </row>
    <row r="18" spans="1:15" x14ac:dyDescent="0.25">
      <c r="A18" s="2">
        <v>14123</v>
      </c>
      <c r="B18" s="2">
        <v>51500</v>
      </c>
      <c r="C18" s="2" t="s">
        <v>30</v>
      </c>
      <c r="G18" s="3"/>
      <c r="H18" s="4">
        <v>13555</v>
      </c>
      <c r="I18" s="4">
        <f>[1]Expense!N15</f>
        <v>12100</v>
      </c>
      <c r="J18" s="4">
        <f>[1]Expense!I15</f>
        <v>6000</v>
      </c>
      <c r="K18" s="4">
        <f>[2]Expense!K15</f>
        <v>5047.41</v>
      </c>
      <c r="L18" s="4">
        <v>0</v>
      </c>
      <c r="M18" s="4">
        <v>0</v>
      </c>
      <c r="N18" s="23">
        <f>(H18-J18)/J18</f>
        <v>1.2591666666666668</v>
      </c>
      <c r="O18" s="24">
        <f>H18-J18</f>
        <v>7555</v>
      </c>
    </row>
    <row r="19" spans="1:15" x14ac:dyDescent="0.25">
      <c r="A19" s="2">
        <v>14123</v>
      </c>
      <c r="B19" s="2">
        <v>51510</v>
      </c>
      <c r="C19" s="2" t="s">
        <v>31</v>
      </c>
      <c r="G19" s="3"/>
      <c r="H19" s="4"/>
      <c r="I19" s="4"/>
      <c r="L19" s="4">
        <v>3777.84</v>
      </c>
      <c r="M19" s="4">
        <v>2570.16</v>
      </c>
      <c r="N19" s="23"/>
      <c r="O19" s="24">
        <f>H19-J19</f>
        <v>0</v>
      </c>
    </row>
    <row r="20" spans="1:15" x14ac:dyDescent="0.25">
      <c r="A20" s="2">
        <v>14123</v>
      </c>
      <c r="B20" s="2">
        <v>51520</v>
      </c>
      <c r="C20" s="2" t="s">
        <v>32</v>
      </c>
      <c r="G20" s="3"/>
      <c r="H20" s="4">
        <v>1200</v>
      </c>
      <c r="I20" s="4">
        <f>[1]Expense!N16</f>
        <v>900</v>
      </c>
      <c r="J20" s="4">
        <f>[1]Expense!I16</f>
        <v>900</v>
      </c>
      <c r="K20" s="4">
        <f>[2]Expense!$K$16</f>
        <v>560</v>
      </c>
      <c r="L20" s="4">
        <v>580</v>
      </c>
      <c r="M20" s="4">
        <v>580</v>
      </c>
      <c r="N20" s="23">
        <f>(H20-J20)/J20</f>
        <v>0.33333333333333331</v>
      </c>
      <c r="O20" s="24">
        <f>H20-J20</f>
        <v>300</v>
      </c>
    </row>
    <row r="21" spans="1:15" x14ac:dyDescent="0.25">
      <c r="A21" s="2">
        <v>14123</v>
      </c>
      <c r="B21" s="2">
        <v>52100</v>
      </c>
      <c r="C21" s="2" t="s">
        <v>33</v>
      </c>
      <c r="H21" s="4">
        <v>153000</v>
      </c>
      <c r="I21" s="4">
        <f>[1]Expense!N17</f>
        <v>112000</v>
      </c>
      <c r="J21" s="4">
        <f>[1]Expense!I17</f>
        <v>127765</v>
      </c>
      <c r="K21" s="4">
        <f>[2]Expense!K17</f>
        <v>120923.02</v>
      </c>
      <c r="L21" s="4">
        <v>154915.34</v>
      </c>
      <c r="M21" s="4">
        <v>146741.32999999999</v>
      </c>
      <c r="N21" s="23">
        <f>(H21-J21)/J21</f>
        <v>0.19751105545337141</v>
      </c>
      <c r="O21" s="24">
        <f>H21-J21</f>
        <v>25235</v>
      </c>
    </row>
    <row r="22" spans="1:15" x14ac:dyDescent="0.25">
      <c r="A22" s="2">
        <v>14123</v>
      </c>
      <c r="B22" s="2">
        <v>52140</v>
      </c>
      <c r="C22" s="2" t="s">
        <v>34</v>
      </c>
      <c r="H22" s="4">
        <v>4089</v>
      </c>
      <c r="I22" s="4">
        <f>[1]Expense!N18</f>
        <v>1800</v>
      </c>
      <c r="J22" s="4">
        <f>[1]Expense!I18</f>
        <v>3321</v>
      </c>
      <c r="N22" s="23">
        <f>(H22-J22)/J22</f>
        <v>0.23125564588979222</v>
      </c>
      <c r="O22" s="24">
        <f>H22-J22</f>
        <v>768</v>
      </c>
    </row>
    <row r="23" spans="1:15" x14ac:dyDescent="0.25">
      <c r="A23" s="2">
        <v>14123</v>
      </c>
      <c r="B23" s="2">
        <v>52200</v>
      </c>
      <c r="C23" s="2" t="s">
        <v>35</v>
      </c>
      <c r="G23" s="3"/>
      <c r="H23" s="4">
        <v>64700</v>
      </c>
      <c r="I23" s="4">
        <f>[1]Expense!N19</f>
        <v>60000</v>
      </c>
      <c r="J23" s="4">
        <f>[1]Expense!I19</f>
        <v>63300</v>
      </c>
      <c r="K23" s="4">
        <f>[2]Expense!K18</f>
        <v>50352.42</v>
      </c>
      <c r="L23" s="4">
        <v>49466.96</v>
      </c>
      <c r="M23" s="4">
        <v>45054.78</v>
      </c>
      <c r="N23" s="23">
        <f>(H23-J23)/J23</f>
        <v>2.2116903633491312E-2</v>
      </c>
      <c r="O23" s="24">
        <f>H23-J23</f>
        <v>1400</v>
      </c>
    </row>
    <row r="24" spans="1:15" x14ac:dyDescent="0.25">
      <c r="A24" s="2">
        <v>14123</v>
      </c>
      <c r="B24" s="2">
        <v>52230</v>
      </c>
      <c r="C24" s="2" t="s">
        <v>36</v>
      </c>
      <c r="G24" s="3"/>
      <c r="H24" s="4">
        <v>108200</v>
      </c>
      <c r="I24" s="4">
        <f>[1]Expense!N20</f>
        <v>101000</v>
      </c>
      <c r="J24" s="4">
        <f>[1]Expense!I20</f>
        <v>106800</v>
      </c>
      <c r="K24" s="4">
        <f>[2]Expense!K19</f>
        <v>83715.23</v>
      </c>
      <c r="L24" s="4">
        <v>76587.92</v>
      </c>
      <c r="M24" s="4">
        <v>64595.48</v>
      </c>
      <c r="N24" s="23">
        <f>(H24-J24)/J24</f>
        <v>1.3108614232209739E-2</v>
      </c>
      <c r="O24" s="24">
        <f>H24-J24</f>
        <v>1400</v>
      </c>
    </row>
    <row r="25" spans="1:15" x14ac:dyDescent="0.25">
      <c r="A25" s="2">
        <v>14123</v>
      </c>
      <c r="B25" s="2">
        <v>52250</v>
      </c>
      <c r="C25" s="2" t="s">
        <v>37</v>
      </c>
      <c r="G25" s="3"/>
      <c r="H25" s="4">
        <v>521</v>
      </c>
      <c r="I25" s="4">
        <f>[1]Expense!N21</f>
        <v>323</v>
      </c>
      <c r="J25" s="4">
        <f>[1]Expense!I21</f>
        <v>323</v>
      </c>
      <c r="K25" s="4">
        <f>[2]Expense!K20</f>
        <v>357.74</v>
      </c>
      <c r="L25" s="4">
        <v>266.04000000000002</v>
      </c>
      <c r="M25" s="4">
        <v>266.04000000000002</v>
      </c>
      <c r="N25" s="23">
        <f>(H25-J25)/J25</f>
        <v>0.61300309597523217</v>
      </c>
      <c r="O25" s="24">
        <f>H25-J25</f>
        <v>198</v>
      </c>
    </row>
    <row r="26" spans="1:15" x14ac:dyDescent="0.25">
      <c r="A26" s="2">
        <v>14123</v>
      </c>
      <c r="B26" s="2">
        <v>52260</v>
      </c>
      <c r="C26" s="2" t="s">
        <v>38</v>
      </c>
      <c r="G26" s="3"/>
      <c r="H26" s="4">
        <v>1361</v>
      </c>
      <c r="I26" s="4">
        <f>[1]Expense!N22</f>
        <v>1413</v>
      </c>
      <c r="J26" s="4">
        <f>[1]Expense!I22</f>
        <v>1413</v>
      </c>
      <c r="K26" s="4">
        <f>[2]Expense!K21</f>
        <v>1774</v>
      </c>
      <c r="L26" s="4">
        <v>1083</v>
      </c>
      <c r="M26" s="4">
        <v>1262</v>
      </c>
      <c r="N26" s="23">
        <f>(H26-J26)/J26</f>
        <v>-3.680113234253362E-2</v>
      </c>
      <c r="O26" s="24">
        <f>H26-J26</f>
        <v>-52</v>
      </c>
    </row>
    <row r="27" spans="1:15" x14ac:dyDescent="0.25">
      <c r="A27" s="2">
        <v>14123</v>
      </c>
      <c r="B27" s="2">
        <v>53000</v>
      </c>
      <c r="C27" s="2" t="s">
        <v>39</v>
      </c>
      <c r="G27" s="3"/>
      <c r="H27" s="4">
        <v>4040</v>
      </c>
      <c r="I27" s="4">
        <f>[1]Expense!N23</f>
        <v>4040</v>
      </c>
      <c r="J27" s="4">
        <f>[1]Expense!I23</f>
        <v>4040</v>
      </c>
      <c r="K27" s="4">
        <f>[2]Expense!K22</f>
        <v>5139.6499999999996</v>
      </c>
      <c r="L27" s="2">
        <v>2875</v>
      </c>
      <c r="M27" s="2">
        <v>3240</v>
      </c>
      <c r="N27" s="23">
        <f>(H27-J27)/J27</f>
        <v>0</v>
      </c>
      <c r="O27" s="24">
        <f>H27-J27</f>
        <v>0</v>
      </c>
    </row>
    <row r="28" spans="1:15" x14ac:dyDescent="0.25">
      <c r="A28" s="2">
        <v>14123</v>
      </c>
      <c r="B28" s="2">
        <v>53410</v>
      </c>
      <c r="C28" s="2" t="s">
        <v>40</v>
      </c>
      <c r="G28" s="3"/>
      <c r="H28" s="4">
        <v>1000</v>
      </c>
      <c r="I28" s="4">
        <f>[1]Expense!N24</f>
        <v>850</v>
      </c>
      <c r="J28" s="4">
        <f>[1]Expense!I24</f>
        <v>1200</v>
      </c>
      <c r="K28" s="4">
        <f>[2]Expense!K23</f>
        <v>907.96</v>
      </c>
      <c r="L28" s="4">
        <v>1452</v>
      </c>
      <c r="M28" s="4">
        <v>1057.1300000000001</v>
      </c>
      <c r="N28" s="23">
        <f>(H28-J28)/J28</f>
        <v>-0.16666666666666666</v>
      </c>
      <c r="O28" s="24">
        <f>H28-J28</f>
        <v>-200</v>
      </c>
    </row>
    <row r="29" spans="1:15" x14ac:dyDescent="0.25">
      <c r="A29" s="2">
        <v>14123</v>
      </c>
      <c r="B29" s="2">
        <v>53421</v>
      </c>
      <c r="C29" s="2" t="s">
        <v>41</v>
      </c>
      <c r="G29" s="3"/>
      <c r="H29" s="3">
        <v>2796</v>
      </c>
      <c r="I29" s="4">
        <f>[1]Expense!N25</f>
        <v>900</v>
      </c>
      <c r="J29" s="4">
        <f>[1]Expense!I25</f>
        <v>900</v>
      </c>
      <c r="K29" s="4">
        <f>[2]Expense!K24</f>
        <v>768</v>
      </c>
      <c r="L29" s="4">
        <v>2469</v>
      </c>
      <c r="M29" s="4">
        <v>0</v>
      </c>
      <c r="N29" s="23">
        <f>(H29-J29)/J29</f>
        <v>2.1066666666666665</v>
      </c>
      <c r="O29" s="24">
        <f>H29-J29</f>
        <v>1896</v>
      </c>
    </row>
    <row r="30" spans="1:15" x14ac:dyDescent="0.25">
      <c r="C30" s="2" t="s">
        <v>42</v>
      </c>
      <c r="D30" s="2">
        <v>12</v>
      </c>
      <c r="E30" s="2">
        <v>75</v>
      </c>
      <c r="F30" s="2">
        <v>900</v>
      </c>
      <c r="H30" s="4"/>
      <c r="I30" s="4"/>
      <c r="N30" s="23"/>
      <c r="O30" s="24">
        <f>H30-J30</f>
        <v>0</v>
      </c>
    </row>
    <row r="31" spans="1:15" x14ac:dyDescent="0.25">
      <c r="C31" s="2" t="s">
        <v>43</v>
      </c>
      <c r="D31" s="2">
        <v>12</v>
      </c>
      <c r="E31" s="2">
        <v>158</v>
      </c>
      <c r="F31" s="2">
        <v>1896</v>
      </c>
      <c r="H31" s="4"/>
      <c r="I31" s="4"/>
      <c r="N31" s="23"/>
      <c r="O31" s="24">
        <f>H31-J31</f>
        <v>0</v>
      </c>
    </row>
    <row r="32" spans="1:15" x14ac:dyDescent="0.25">
      <c r="A32" s="2">
        <v>14123</v>
      </c>
      <c r="B32" s="2">
        <v>53425</v>
      </c>
      <c r="C32" s="2" t="s">
        <v>44</v>
      </c>
      <c r="G32" s="3"/>
      <c r="H32" s="3">
        <v>9979</v>
      </c>
      <c r="I32" s="4">
        <f>[1]Expense!N26</f>
        <v>6600</v>
      </c>
      <c r="J32" s="4">
        <f>[1]Expense!I26</f>
        <v>15500</v>
      </c>
      <c r="K32" s="4">
        <f>[2]Expense!K25</f>
        <v>11887.8</v>
      </c>
      <c r="L32" s="4">
        <v>8710.06</v>
      </c>
      <c r="M32" s="4">
        <v>8846.8799999999992</v>
      </c>
      <c r="N32" s="23">
        <f>(H32-J32)/J32</f>
        <v>-0.35619354838709677</v>
      </c>
      <c r="O32" s="24">
        <f>H32-J32</f>
        <v>-5521</v>
      </c>
    </row>
    <row r="33" spans="1:15" x14ac:dyDescent="0.25">
      <c r="C33" s="2" t="s">
        <v>45</v>
      </c>
      <c r="D33" s="2">
        <v>1</v>
      </c>
      <c r="E33" s="2">
        <v>6600</v>
      </c>
      <c r="F33" s="2">
        <v>6600</v>
      </c>
      <c r="G33" s="3"/>
      <c r="I33" s="4"/>
      <c r="N33" s="23"/>
      <c r="O33" s="24">
        <f>H33-J33</f>
        <v>0</v>
      </c>
    </row>
    <row r="34" spans="1:15" x14ac:dyDescent="0.25">
      <c r="C34" s="2" t="s">
        <v>46</v>
      </c>
      <c r="D34" s="2">
        <v>1</v>
      </c>
      <c r="E34" s="2">
        <v>3229</v>
      </c>
      <c r="F34" s="2">
        <v>3229</v>
      </c>
      <c r="G34" s="3"/>
      <c r="I34" s="4"/>
      <c r="N34" s="23"/>
      <c r="O34" s="24">
        <f>H34-J34</f>
        <v>0</v>
      </c>
    </row>
    <row r="35" spans="1:15" x14ac:dyDescent="0.25">
      <c r="C35" s="2" t="s">
        <v>47</v>
      </c>
      <c r="D35" s="2">
        <v>1</v>
      </c>
      <c r="E35" s="2">
        <v>150</v>
      </c>
      <c r="F35" s="2">
        <v>150</v>
      </c>
      <c r="G35" s="3"/>
      <c r="I35" s="4"/>
      <c r="N35" s="23"/>
      <c r="O35" s="24">
        <f>H35-J35</f>
        <v>0</v>
      </c>
    </row>
    <row r="36" spans="1:15" x14ac:dyDescent="0.25">
      <c r="A36" s="2">
        <v>14123</v>
      </c>
      <c r="B36" s="2">
        <v>53500</v>
      </c>
      <c r="C36" s="2" t="s">
        <v>48</v>
      </c>
      <c r="G36" s="3"/>
      <c r="H36" s="4">
        <v>20000</v>
      </c>
      <c r="I36" s="4">
        <f>[1]Expense!N27</f>
        <v>21000</v>
      </c>
      <c r="J36" s="4">
        <f>[1]Expense!I27</f>
        <v>18000</v>
      </c>
      <c r="K36" s="4">
        <f>[2]Expense!K26</f>
        <v>16873.63</v>
      </c>
      <c r="L36" s="4">
        <v>20483.62</v>
      </c>
      <c r="M36" s="4">
        <v>17352.82</v>
      </c>
      <c r="N36" s="23">
        <f>(H36-J36)/J36</f>
        <v>0.1111111111111111</v>
      </c>
      <c r="O36" s="24">
        <f>H36-J36</f>
        <v>2000</v>
      </c>
    </row>
    <row r="37" spans="1:15" x14ac:dyDescent="0.25">
      <c r="A37" s="2">
        <v>14123</v>
      </c>
      <c r="B37" s="2">
        <v>53510</v>
      </c>
      <c r="C37" s="2" t="s">
        <v>49</v>
      </c>
      <c r="G37" s="3"/>
      <c r="H37" s="4">
        <v>15000</v>
      </c>
      <c r="I37" s="4">
        <f>[1]Expense!N28</f>
        <v>12500</v>
      </c>
      <c r="J37" s="4">
        <f>[1]Expense!I28</f>
        <v>10000</v>
      </c>
      <c r="K37" s="4">
        <f>[2]Expense!K27</f>
        <v>20079.54</v>
      </c>
      <c r="L37" s="4">
        <v>2582.89</v>
      </c>
      <c r="M37" s="4">
        <v>0</v>
      </c>
      <c r="N37" s="23">
        <f>(H37-J37)/J37</f>
        <v>0.5</v>
      </c>
      <c r="O37" s="24">
        <f>H37-J37</f>
        <v>5000</v>
      </c>
    </row>
    <row r="38" spans="1:15" x14ac:dyDescent="0.25">
      <c r="A38" s="2">
        <v>14123</v>
      </c>
      <c r="B38" s="2">
        <v>54350</v>
      </c>
      <c r="C38" s="2" t="s">
        <v>50</v>
      </c>
      <c r="G38" s="3"/>
      <c r="H38" s="4"/>
      <c r="I38" s="4">
        <f>[1]Expense!N29</f>
        <v>250</v>
      </c>
      <c r="J38" s="4">
        <f>[1]Expense!I29</f>
        <v>250</v>
      </c>
      <c r="K38" s="4">
        <f>[2]Expense!K28</f>
        <v>165</v>
      </c>
      <c r="L38" s="4">
        <v>0</v>
      </c>
      <c r="M38" s="4">
        <v>0</v>
      </c>
      <c r="N38" s="23">
        <f>(H38-J38)/J38</f>
        <v>-1</v>
      </c>
      <c r="O38" s="24">
        <f>H38-J38</f>
        <v>-250</v>
      </c>
    </row>
    <row r="39" spans="1:15" x14ac:dyDescent="0.25">
      <c r="A39" s="2">
        <v>14123</v>
      </c>
      <c r="B39" s="2">
        <v>54353</v>
      </c>
      <c r="C39" s="2" t="s">
        <v>51</v>
      </c>
      <c r="G39" s="3"/>
      <c r="H39" s="4">
        <v>3636</v>
      </c>
      <c r="I39" s="4">
        <f>[1]Expense!N30</f>
        <v>3875</v>
      </c>
      <c r="J39" s="4">
        <f>[1]Expense!I30</f>
        <v>3180</v>
      </c>
      <c r="K39" s="4">
        <f>[2]Expense!K29</f>
        <v>3247.79</v>
      </c>
      <c r="L39" s="4">
        <v>2727.96</v>
      </c>
      <c r="M39" s="4">
        <v>2853.06</v>
      </c>
      <c r="N39" s="23">
        <f>(H39-J39)/J39</f>
        <v>0.14339622641509434</v>
      </c>
      <c r="O39" s="24">
        <f>H39-J39</f>
        <v>456</v>
      </c>
    </row>
    <row r="40" spans="1:15" x14ac:dyDescent="0.25">
      <c r="A40" s="2">
        <v>14123</v>
      </c>
      <c r="B40" s="2">
        <v>54800</v>
      </c>
      <c r="C40" s="2" t="s">
        <v>52</v>
      </c>
      <c r="G40" s="3"/>
      <c r="H40" s="4">
        <v>6700</v>
      </c>
      <c r="I40" s="4">
        <f>[1]Expense!N31</f>
        <v>5688</v>
      </c>
      <c r="J40" s="4">
        <f>[1]Expense!I31</f>
        <v>5688</v>
      </c>
      <c r="K40" s="4">
        <f>[2]Expense!K30</f>
        <v>5170.04</v>
      </c>
      <c r="L40" s="4">
        <v>4831.79</v>
      </c>
      <c r="M40" s="4">
        <v>4515.6899999999996</v>
      </c>
      <c r="N40" s="23">
        <f>(H40-J40)/J40</f>
        <v>0.17791842475386779</v>
      </c>
      <c r="O40" s="24">
        <f>H40-J40</f>
        <v>1012</v>
      </c>
    </row>
    <row r="41" spans="1:15" x14ac:dyDescent="0.25">
      <c r="A41" s="2">
        <v>14123</v>
      </c>
      <c r="B41" s="2">
        <v>55500</v>
      </c>
      <c r="C41" s="2" t="s">
        <v>53</v>
      </c>
      <c r="G41" s="3"/>
      <c r="H41" s="4">
        <v>200</v>
      </c>
      <c r="I41" s="4">
        <f>[1]Expense!N32</f>
        <v>0</v>
      </c>
      <c r="J41" s="4">
        <f>[1]Expense!I32</f>
        <v>300</v>
      </c>
      <c r="K41" s="4">
        <f>[2]Expense!K31</f>
        <v>0</v>
      </c>
      <c r="L41" s="4">
        <v>196.11</v>
      </c>
      <c r="M41" s="4">
        <v>237.75</v>
      </c>
      <c r="N41" s="23">
        <f>(H41-J41)/J41</f>
        <v>-0.33333333333333331</v>
      </c>
      <c r="O41" s="24">
        <f>H41-J41</f>
        <v>-100</v>
      </c>
    </row>
    <row r="42" spans="1:15" x14ac:dyDescent="0.25">
      <c r="A42" s="2">
        <v>14123</v>
      </c>
      <c r="B42" s="2">
        <v>56105</v>
      </c>
      <c r="C42" s="2" t="s">
        <v>54</v>
      </c>
      <c r="G42" s="3"/>
      <c r="H42" s="4">
        <v>500</v>
      </c>
      <c r="I42" s="4">
        <f>[1]Expense!N33</f>
        <v>650</v>
      </c>
      <c r="J42" s="4">
        <f>[1]Expense!I33</f>
        <v>500</v>
      </c>
      <c r="K42" s="4">
        <f>[2]Expense!K32</f>
        <v>1800</v>
      </c>
      <c r="L42" s="4">
        <v>0</v>
      </c>
      <c r="M42" s="4">
        <v>178.5</v>
      </c>
      <c r="N42" s="23">
        <f>(H42-J42)/J42</f>
        <v>0</v>
      </c>
      <c r="O42" s="24">
        <f>H42-J42</f>
        <v>0</v>
      </c>
    </row>
    <row r="43" spans="1:15" x14ac:dyDescent="0.25">
      <c r="A43" s="2">
        <v>14123</v>
      </c>
      <c r="B43" s="2">
        <v>56110</v>
      </c>
      <c r="C43" s="2" t="s">
        <v>55</v>
      </c>
      <c r="G43" s="3"/>
      <c r="H43" s="4">
        <v>1000</v>
      </c>
      <c r="I43" s="4">
        <f>[1]Expense!N34</f>
        <v>700</v>
      </c>
      <c r="J43" s="4">
        <f>[1]Expense!I34</f>
        <v>1200</v>
      </c>
      <c r="K43" s="4">
        <f>[2]Expense!K33</f>
        <v>199</v>
      </c>
      <c r="L43" s="4">
        <v>994.18</v>
      </c>
      <c r="M43" s="4">
        <v>1151</v>
      </c>
      <c r="N43" s="23">
        <f>(H43-J43)/J43</f>
        <v>-0.16666666666666666</v>
      </c>
      <c r="O43" s="24">
        <f>H43-J43</f>
        <v>-200</v>
      </c>
    </row>
    <row r="44" spans="1:15" x14ac:dyDescent="0.25">
      <c r="A44" s="2">
        <v>14123</v>
      </c>
      <c r="B44" s="2">
        <v>56130</v>
      </c>
      <c r="C44" s="2" t="s">
        <v>22</v>
      </c>
      <c r="G44" s="3"/>
      <c r="H44" s="4">
        <v>1000</v>
      </c>
      <c r="I44" s="4">
        <f>[1]Expense!N35</f>
        <v>1000</v>
      </c>
      <c r="J44" s="4">
        <f>[1]Expense!I35</f>
        <v>1000</v>
      </c>
      <c r="K44" s="4">
        <f>[2]Expense!K34</f>
        <v>1072.1500000000001</v>
      </c>
      <c r="L44" s="4">
        <v>238.5</v>
      </c>
      <c r="M44" s="4">
        <v>42.55</v>
      </c>
      <c r="N44" s="23">
        <f>(H44-J44)/J44</f>
        <v>0</v>
      </c>
      <c r="O44" s="24">
        <f>H44-J44</f>
        <v>0</v>
      </c>
    </row>
    <row r="45" spans="1:15" x14ac:dyDescent="0.25">
      <c r="A45" s="2">
        <v>14123</v>
      </c>
      <c r="B45" s="2">
        <v>56200</v>
      </c>
      <c r="C45" s="2" t="s">
        <v>56</v>
      </c>
      <c r="G45" s="3"/>
      <c r="H45" s="4">
        <v>2500</v>
      </c>
      <c r="I45" s="4">
        <f>[1]Expense!N36</f>
        <v>3000</v>
      </c>
      <c r="J45" s="4">
        <f>[1]Expense!I36</f>
        <v>3000</v>
      </c>
      <c r="K45" s="4">
        <f>[2]Expense!K35</f>
        <v>2852.93</v>
      </c>
      <c r="L45" s="4">
        <v>2592.52</v>
      </c>
      <c r="M45" s="4">
        <v>2022.46</v>
      </c>
      <c r="N45" s="23">
        <f>(H45-J45)/J45</f>
        <v>-0.16666666666666666</v>
      </c>
      <c r="O45" s="24">
        <f>H45-J45</f>
        <v>-500</v>
      </c>
    </row>
    <row r="46" spans="1:15" x14ac:dyDescent="0.25">
      <c r="A46" s="2">
        <v>14123</v>
      </c>
      <c r="B46" s="2">
        <v>56250</v>
      </c>
      <c r="C46" s="2" t="s">
        <v>57</v>
      </c>
      <c r="G46" s="3"/>
      <c r="H46" s="4">
        <v>1000</v>
      </c>
      <c r="I46" s="4">
        <f>[1]Expense!N37</f>
        <v>1200</v>
      </c>
      <c r="J46" s="4">
        <f>[1]Expense!I37</f>
        <v>1000</v>
      </c>
      <c r="K46" s="4">
        <f>[2]Expense!K36</f>
        <v>1161.4100000000001</v>
      </c>
      <c r="L46" s="4">
        <v>1248.81</v>
      </c>
      <c r="M46" s="4">
        <v>1011.26</v>
      </c>
      <c r="N46" s="23">
        <f>(H46-J46)/J46</f>
        <v>0</v>
      </c>
      <c r="O46" s="24">
        <f>H46-J46</f>
        <v>0</v>
      </c>
    </row>
    <row r="47" spans="1:15" x14ac:dyDescent="0.25">
      <c r="A47" s="2">
        <v>14123</v>
      </c>
      <c r="B47" s="2">
        <v>56670</v>
      </c>
      <c r="C47" s="2" t="s">
        <v>58</v>
      </c>
      <c r="G47" s="3"/>
      <c r="H47" s="4">
        <v>2000</v>
      </c>
      <c r="I47" s="4">
        <f>[1]Expense!N38</f>
        <v>1950</v>
      </c>
      <c r="J47" s="4">
        <f>[1]Expense!I38</f>
        <v>800</v>
      </c>
      <c r="K47" s="4">
        <f>[2]Expense!K37</f>
        <v>1415.44</v>
      </c>
      <c r="L47" s="4">
        <v>1100.1199999999999</v>
      </c>
      <c r="M47" s="4">
        <v>1051.3900000000001</v>
      </c>
      <c r="N47" s="23">
        <f>(H47-J47)/J47</f>
        <v>1.5</v>
      </c>
      <c r="O47" s="24">
        <f>H47-J47</f>
        <v>1200</v>
      </c>
    </row>
    <row r="48" spans="1:15" x14ac:dyDescent="0.25">
      <c r="A48" s="2">
        <v>14123</v>
      </c>
      <c r="B48" s="2">
        <v>56680</v>
      </c>
      <c r="C48" s="2" t="s">
        <v>59</v>
      </c>
      <c r="G48" s="3"/>
      <c r="H48" s="4">
        <v>300</v>
      </c>
      <c r="I48" s="4">
        <f>[1]Expense!N39</f>
        <v>2000</v>
      </c>
      <c r="J48" s="4">
        <f>[1]Expense!I39</f>
        <v>2000</v>
      </c>
      <c r="K48" s="4">
        <f>[2]Expense!K38</f>
        <v>2980.83</v>
      </c>
      <c r="L48" s="4">
        <v>0</v>
      </c>
      <c r="M48" s="4">
        <v>4212.3900000000003</v>
      </c>
      <c r="N48" s="23">
        <f>(H48-J48)/J48</f>
        <v>-0.85</v>
      </c>
      <c r="O48" s="24">
        <f>H48-J48</f>
        <v>-1700</v>
      </c>
    </row>
    <row r="49" spans="1:15" x14ac:dyDescent="0.25">
      <c r="C49" s="2" t="s">
        <v>60</v>
      </c>
      <c r="D49" s="2">
        <v>1</v>
      </c>
      <c r="E49" s="2">
        <v>300</v>
      </c>
      <c r="F49" s="2">
        <v>300</v>
      </c>
      <c r="G49" s="3"/>
      <c r="I49" s="4"/>
      <c r="N49" s="23"/>
      <c r="O49" s="24">
        <f>H49-J49</f>
        <v>0</v>
      </c>
    </row>
    <row r="50" spans="1:15" s="5" customFormat="1" x14ac:dyDescent="0.25">
      <c r="A50" s="5" t="s">
        <v>23</v>
      </c>
      <c r="B50" s="5" t="s">
        <v>61</v>
      </c>
      <c r="G50" s="21">
        <f t="shared" ref="G50:M50" si="1">SUM(G14:G48)</f>
        <v>0</v>
      </c>
      <c r="H50" s="21">
        <f t="shared" si="1"/>
        <v>1248720</v>
      </c>
      <c r="I50" s="22">
        <f t="shared" si="1"/>
        <v>1139117</v>
      </c>
      <c r="J50" s="22">
        <f t="shared" si="1"/>
        <v>1192651.67</v>
      </c>
      <c r="K50" s="22">
        <f t="shared" si="1"/>
        <v>1007519.8400000002</v>
      </c>
      <c r="L50" s="22">
        <f t="shared" si="1"/>
        <v>996825.52000000014</v>
      </c>
      <c r="M50" s="22">
        <f t="shared" si="1"/>
        <v>913841.81</v>
      </c>
      <c r="N50" s="25">
        <f>(H50-J50)/J50</f>
        <v>4.7011488274694722E-2</v>
      </c>
      <c r="O50" s="26">
        <f>H50-J50</f>
        <v>56068.330000000075</v>
      </c>
    </row>
    <row r="51" spans="1:15" x14ac:dyDescent="0.25">
      <c r="I51" s="26"/>
      <c r="N51" s="23"/>
    </row>
    <row r="52" spans="1:15" s="5" customFormat="1" x14ac:dyDescent="0.25">
      <c r="A52" s="5">
        <v>14130</v>
      </c>
      <c r="B52" s="5" t="s">
        <v>62</v>
      </c>
      <c r="H52" s="21"/>
      <c r="I52" s="2"/>
      <c r="J52" s="22"/>
      <c r="K52" s="22"/>
      <c r="L52" s="22"/>
      <c r="M52" s="22"/>
      <c r="N52" s="23"/>
    </row>
    <row r="53" spans="1:15" x14ac:dyDescent="0.25">
      <c r="A53" s="2">
        <v>14130</v>
      </c>
      <c r="B53" s="2">
        <v>51100</v>
      </c>
      <c r="C53" s="2" t="s">
        <v>26</v>
      </c>
      <c r="G53" s="3"/>
      <c r="H53" s="4">
        <v>242900</v>
      </c>
      <c r="I53" s="4">
        <f>[1]Expense!N43</f>
        <v>212425</v>
      </c>
      <c r="J53" s="4">
        <f>[1]Expense!I43</f>
        <v>207500</v>
      </c>
      <c r="K53" s="4">
        <f>[2]Expense!K42</f>
        <v>202590.61</v>
      </c>
      <c r="L53" s="3">
        <v>204151.49</v>
      </c>
      <c r="M53" s="3">
        <v>196629.7</v>
      </c>
      <c r="N53" s="23">
        <f>(H53-J53)/J53</f>
        <v>0.17060240963855422</v>
      </c>
      <c r="O53" s="24">
        <f>H53-J53</f>
        <v>35400</v>
      </c>
    </row>
    <row r="54" spans="1:15" x14ac:dyDescent="0.25">
      <c r="A54" s="2">
        <v>14130</v>
      </c>
      <c r="B54" s="2">
        <v>51300</v>
      </c>
      <c r="C54" s="2" t="s">
        <v>28</v>
      </c>
      <c r="G54" s="3"/>
      <c r="H54" s="4">
        <v>29712</v>
      </c>
      <c r="I54" s="4">
        <f>[1]Expense!N44</f>
        <v>29712</v>
      </c>
      <c r="J54" s="4">
        <f>[1]Expense!I44</f>
        <v>29712</v>
      </c>
      <c r="K54" s="4">
        <f>[2]Expense!K43</f>
        <v>29712</v>
      </c>
      <c r="L54" s="4">
        <v>29712</v>
      </c>
      <c r="M54" s="4">
        <v>29712</v>
      </c>
      <c r="N54" s="23">
        <f>(H54-J54)/J54</f>
        <v>0</v>
      </c>
      <c r="O54" s="24">
        <f>H54-J54</f>
        <v>0</v>
      </c>
    </row>
    <row r="55" spans="1:15" x14ac:dyDescent="0.25">
      <c r="A55" s="2">
        <v>14130</v>
      </c>
      <c r="B55" s="2">
        <v>51400</v>
      </c>
      <c r="C55" s="2" t="s">
        <v>29</v>
      </c>
      <c r="G55" s="3"/>
      <c r="H55" s="4">
        <v>2500</v>
      </c>
      <c r="I55" s="4">
        <f>[1]Expense!N45</f>
        <v>1500</v>
      </c>
      <c r="J55" s="4">
        <f>[1]Expense!I45</f>
        <v>2500</v>
      </c>
      <c r="K55" s="4">
        <f>[2]Expense!K44</f>
        <v>1559.4</v>
      </c>
      <c r="L55" s="4">
        <v>1895.85</v>
      </c>
      <c r="M55" s="4">
        <v>1329.18</v>
      </c>
      <c r="N55" s="23">
        <f>(H55-J55)/J55</f>
        <v>0</v>
      </c>
      <c r="O55" s="24">
        <f>H55-J55</f>
        <v>0</v>
      </c>
    </row>
    <row r="56" spans="1:15" x14ac:dyDescent="0.25">
      <c r="A56" s="2">
        <v>14130</v>
      </c>
      <c r="B56" s="2">
        <v>51500</v>
      </c>
      <c r="C56" s="2" t="s">
        <v>63</v>
      </c>
      <c r="G56" s="3"/>
      <c r="H56" s="4">
        <v>2776</v>
      </c>
      <c r="I56" s="4">
        <f>[1]Expense!N46</f>
        <v>6415</v>
      </c>
      <c r="J56" s="4">
        <f>[1]Expense!I46</f>
        <v>5620</v>
      </c>
      <c r="K56" s="4">
        <f>[2]Expense!K45</f>
        <v>5638.08</v>
      </c>
      <c r="L56" s="4">
        <v>0</v>
      </c>
      <c r="M56" s="4">
        <v>0</v>
      </c>
      <c r="N56" s="23">
        <f>(H56-J56)/J56</f>
        <v>-0.50604982206405691</v>
      </c>
      <c r="O56" s="24">
        <f>H56-J56</f>
        <v>-2844</v>
      </c>
    </row>
    <row r="57" spans="1:15" x14ac:dyDescent="0.25">
      <c r="A57" s="2">
        <v>14130</v>
      </c>
      <c r="B57" s="2">
        <v>51510</v>
      </c>
      <c r="C57" s="2" t="s">
        <v>31</v>
      </c>
      <c r="H57" s="4"/>
      <c r="I57" s="4"/>
      <c r="J57" s="4">
        <v>0</v>
      </c>
      <c r="L57" s="4">
        <v>2233.17</v>
      </c>
      <c r="M57" s="4">
        <v>2135.89</v>
      </c>
      <c r="N57" s="23" t="e">
        <f>(H57-J57)/J57</f>
        <v>#DIV/0!</v>
      </c>
      <c r="O57" s="24">
        <f>H57-J57</f>
        <v>0</v>
      </c>
    </row>
    <row r="58" spans="1:15" x14ac:dyDescent="0.25">
      <c r="A58" s="2">
        <v>14130</v>
      </c>
      <c r="B58" s="2">
        <v>51520</v>
      </c>
      <c r="C58" s="2" t="s">
        <v>32</v>
      </c>
      <c r="G58" s="3"/>
      <c r="H58" s="4">
        <v>500</v>
      </c>
      <c r="I58" s="4">
        <f>[1]Expense!N47</f>
        <v>500</v>
      </c>
      <c r="J58" s="4">
        <f>[1]Expense!I47</f>
        <v>500</v>
      </c>
      <c r="K58" s="4">
        <f>[2]Expense!K46</f>
        <v>380</v>
      </c>
      <c r="L58" s="4">
        <v>960</v>
      </c>
      <c r="M58" s="4">
        <v>860</v>
      </c>
      <c r="N58" s="23">
        <f>(H58-J58)/J58</f>
        <v>0</v>
      </c>
      <c r="O58" s="24">
        <f>H58-J58</f>
        <v>0</v>
      </c>
    </row>
    <row r="59" spans="1:15" x14ac:dyDescent="0.25">
      <c r="A59" s="2">
        <v>14130</v>
      </c>
      <c r="B59" s="2">
        <v>52100</v>
      </c>
      <c r="C59" s="2" t="s">
        <v>33</v>
      </c>
      <c r="G59" s="3"/>
      <c r="H59" s="4">
        <v>33650</v>
      </c>
      <c r="I59" s="4">
        <f>[1]Expense!N48</f>
        <v>25316</v>
      </c>
      <c r="J59" s="4">
        <f>[1]Expense!I48</f>
        <v>27450</v>
      </c>
      <c r="K59" s="4">
        <f>[2]Expense!K47</f>
        <v>31877</v>
      </c>
      <c r="L59" s="4">
        <v>40583.51</v>
      </c>
      <c r="M59" s="4">
        <v>45036.9</v>
      </c>
      <c r="N59" s="23">
        <f>(H59-J59)/J59</f>
        <v>0.22586520947176686</v>
      </c>
      <c r="O59" s="24">
        <f>H59-J59</f>
        <v>6200</v>
      </c>
    </row>
    <row r="60" spans="1:15" x14ac:dyDescent="0.25">
      <c r="A60" s="2">
        <v>14130</v>
      </c>
      <c r="B60" s="2">
        <v>52140</v>
      </c>
      <c r="C60" s="2" t="s">
        <v>34</v>
      </c>
      <c r="G60" s="3"/>
      <c r="H60" s="4">
        <v>1169</v>
      </c>
      <c r="I60" s="4">
        <f>[1]Expense!N49</f>
        <v>330</v>
      </c>
      <c r="J60" s="4">
        <f>[1]Expense!I49</f>
        <v>950</v>
      </c>
      <c r="N60" s="23">
        <f>(H60-J60)/J60</f>
        <v>0.23052631578947369</v>
      </c>
      <c r="O60" s="24">
        <f>H60-J60</f>
        <v>219</v>
      </c>
    </row>
    <row r="61" spans="1:15" x14ac:dyDescent="0.25">
      <c r="A61" s="2">
        <v>14130</v>
      </c>
      <c r="B61" s="2">
        <v>52200</v>
      </c>
      <c r="C61" s="2" t="s">
        <v>35</v>
      </c>
      <c r="G61" s="3"/>
      <c r="H61" s="4">
        <v>21450</v>
      </c>
      <c r="I61" s="4">
        <f>[1]Expense!N50</f>
        <v>18750</v>
      </c>
      <c r="J61" s="4">
        <f>[1]Expense!I50</f>
        <v>19400</v>
      </c>
      <c r="K61" s="4">
        <f>[2]Expense!K48</f>
        <v>17543.47</v>
      </c>
      <c r="L61" s="3">
        <v>17977.02</v>
      </c>
      <c r="M61" s="3">
        <v>17479.64</v>
      </c>
      <c r="N61" s="23">
        <f>(H61-J61)/J61</f>
        <v>0.1056701030927835</v>
      </c>
      <c r="O61" s="24">
        <f>H61-J61</f>
        <v>2050</v>
      </c>
    </row>
    <row r="62" spans="1:15" x14ac:dyDescent="0.25">
      <c r="A62" s="2">
        <v>14130</v>
      </c>
      <c r="B62" s="2">
        <v>52230</v>
      </c>
      <c r="C62" s="2" t="s">
        <v>64</v>
      </c>
      <c r="G62" s="3"/>
      <c r="H62" s="4">
        <v>33900</v>
      </c>
      <c r="I62" s="4">
        <f>[1]Expense!N51</f>
        <v>29930</v>
      </c>
      <c r="J62" s="4">
        <f>[1]Expense!I51</f>
        <v>30850</v>
      </c>
      <c r="K62" s="4">
        <f>[2]Expense!K49</f>
        <v>28843.66</v>
      </c>
      <c r="L62" s="3">
        <v>27029.1</v>
      </c>
      <c r="M62" s="3">
        <v>22446.65</v>
      </c>
      <c r="N62" s="23">
        <f>(H62-J62)/J62</f>
        <v>9.8865478119935166E-2</v>
      </c>
      <c r="O62" s="24">
        <f>H62-J62</f>
        <v>3050</v>
      </c>
    </row>
    <row r="63" spans="1:15" x14ac:dyDescent="0.25">
      <c r="A63" s="2">
        <v>14130</v>
      </c>
      <c r="B63" s="2">
        <v>52250</v>
      </c>
      <c r="C63" s="2" t="s">
        <v>37</v>
      </c>
      <c r="G63" s="3"/>
      <c r="H63" s="3">
        <v>110</v>
      </c>
      <c r="I63" s="4">
        <f>[1]Expense!N52</f>
        <v>54</v>
      </c>
      <c r="J63" s="4">
        <f>[1]Expense!I52</f>
        <v>54</v>
      </c>
      <c r="K63" s="4">
        <f>[2]Expense!K50</f>
        <v>59.62</v>
      </c>
      <c r="L63" s="4">
        <v>97.97</v>
      </c>
      <c r="M63" s="4">
        <v>97.97</v>
      </c>
      <c r="N63" s="23">
        <f>(H63-J63)/J63</f>
        <v>1.037037037037037</v>
      </c>
      <c r="O63" s="24">
        <f>H63-J63</f>
        <v>56</v>
      </c>
    </row>
    <row r="64" spans="1:15" x14ac:dyDescent="0.25">
      <c r="A64" s="2">
        <v>14130</v>
      </c>
      <c r="B64" s="2">
        <v>52260</v>
      </c>
      <c r="C64" s="2" t="s">
        <v>38</v>
      </c>
      <c r="G64" s="3"/>
      <c r="H64" s="4">
        <v>463</v>
      </c>
      <c r="I64" s="4">
        <f>[1]Expense!N53</f>
        <v>564</v>
      </c>
      <c r="J64" s="4">
        <f>[1]Expense!I53</f>
        <v>564</v>
      </c>
      <c r="K64" s="4">
        <f>[2]Expense!K51</f>
        <v>584</v>
      </c>
      <c r="L64" s="4">
        <v>427</v>
      </c>
      <c r="M64" s="4">
        <v>473</v>
      </c>
      <c r="N64" s="23">
        <f>(H64-J64)/J64</f>
        <v>-0.17907801418439717</v>
      </c>
      <c r="O64" s="24">
        <f>H64-J64</f>
        <v>-101</v>
      </c>
    </row>
    <row r="65" spans="1:15" x14ac:dyDescent="0.25">
      <c r="A65" s="2">
        <v>14130</v>
      </c>
      <c r="B65" s="2">
        <v>52280</v>
      </c>
      <c r="C65" s="2" t="s">
        <v>65</v>
      </c>
      <c r="G65" s="3"/>
      <c r="H65" s="4">
        <v>2000</v>
      </c>
      <c r="I65" s="4">
        <f>[1]Expense!N54</f>
        <v>1000</v>
      </c>
      <c r="J65" s="4">
        <f>[1]Expense!I54</f>
        <v>1500</v>
      </c>
      <c r="K65" s="4">
        <f>[2]Expense!K52</f>
        <v>806.07</v>
      </c>
      <c r="L65" s="4">
        <v>724.66</v>
      </c>
      <c r="M65" s="4">
        <v>2421.2199999999998</v>
      </c>
      <c r="N65" s="23">
        <f>(H65-J65)/J65</f>
        <v>0.33333333333333331</v>
      </c>
      <c r="O65" s="24">
        <f>H65-J65</f>
        <v>500</v>
      </c>
    </row>
    <row r="66" spans="1:15" x14ac:dyDescent="0.25">
      <c r="C66" s="2" t="s">
        <v>66</v>
      </c>
      <c r="D66" s="2">
        <v>1</v>
      </c>
      <c r="E66" s="2">
        <v>1000</v>
      </c>
      <c r="F66" s="2">
        <v>1000</v>
      </c>
      <c r="G66" s="3"/>
      <c r="H66" s="4"/>
      <c r="I66" s="4"/>
      <c r="N66" s="23"/>
      <c r="O66" s="24">
        <f>H66-J66</f>
        <v>0</v>
      </c>
    </row>
    <row r="67" spans="1:15" x14ac:dyDescent="0.25">
      <c r="C67" s="2" t="s">
        <v>67</v>
      </c>
      <c r="D67" s="2">
        <v>1</v>
      </c>
      <c r="E67" s="2">
        <v>500</v>
      </c>
      <c r="F67" s="2">
        <v>500</v>
      </c>
      <c r="G67" s="3"/>
      <c r="H67" s="4"/>
      <c r="I67" s="4"/>
      <c r="N67" s="23"/>
      <c r="O67" s="24">
        <f>H67-J67</f>
        <v>0</v>
      </c>
    </row>
    <row r="68" spans="1:15" x14ac:dyDescent="0.25">
      <c r="C68" s="2" t="s">
        <v>68</v>
      </c>
      <c r="D68" s="2">
        <v>1</v>
      </c>
      <c r="E68" s="2">
        <v>500</v>
      </c>
      <c r="F68" s="2">
        <v>500</v>
      </c>
      <c r="G68" s="3"/>
      <c r="H68" s="4"/>
      <c r="I68" s="4"/>
      <c r="N68" s="23"/>
      <c r="O68" s="24">
        <f>H68-J68</f>
        <v>0</v>
      </c>
    </row>
    <row r="69" spans="1:15" x14ac:dyDescent="0.25">
      <c r="A69" s="2">
        <v>14130</v>
      </c>
      <c r="B69" s="2">
        <v>53010</v>
      </c>
      <c r="C69" s="2" t="s">
        <v>69</v>
      </c>
      <c r="G69" s="3"/>
      <c r="H69" s="4">
        <v>31200</v>
      </c>
      <c r="I69" s="4">
        <f>[1]Expense!N55</f>
        <v>35670</v>
      </c>
      <c r="J69" s="4">
        <f>[1]Expense!I55</f>
        <v>35670</v>
      </c>
      <c r="K69" s="4">
        <f>[2]Expense!K53</f>
        <v>16500</v>
      </c>
      <c r="L69" s="4">
        <v>18602.7</v>
      </c>
      <c r="M69" s="4">
        <v>15900</v>
      </c>
      <c r="N69" s="23">
        <f>(H69-J69)/J69</f>
        <v>-0.12531539108494533</v>
      </c>
      <c r="O69" s="24">
        <f>H69-J69</f>
        <v>-4470</v>
      </c>
    </row>
    <row r="70" spans="1:15" x14ac:dyDescent="0.25">
      <c r="C70" s="2" t="s">
        <v>70</v>
      </c>
      <c r="D70" s="2">
        <v>1</v>
      </c>
      <c r="E70" s="2">
        <v>30900</v>
      </c>
      <c r="F70" s="2">
        <v>30900</v>
      </c>
      <c r="G70" s="3"/>
      <c r="H70" s="4"/>
      <c r="I70" s="4"/>
      <c r="N70" s="23"/>
      <c r="O70" s="24">
        <f>H70-J70</f>
        <v>0</v>
      </c>
    </row>
    <row r="71" spans="1:15" x14ac:dyDescent="0.25">
      <c r="C71" s="2" t="s">
        <v>71</v>
      </c>
      <c r="G71" s="3"/>
      <c r="H71" s="4"/>
      <c r="I71" s="4"/>
      <c r="N71" s="23"/>
      <c r="O71" s="24">
        <f>H71-J71</f>
        <v>0</v>
      </c>
    </row>
    <row r="72" spans="1:15" x14ac:dyDescent="0.25">
      <c r="C72" s="2" t="s">
        <v>72</v>
      </c>
      <c r="D72" s="2">
        <v>1</v>
      </c>
      <c r="E72" s="2">
        <v>300</v>
      </c>
      <c r="F72" s="2">
        <v>300</v>
      </c>
      <c r="G72" s="3"/>
      <c r="H72" s="4"/>
      <c r="I72" s="4"/>
      <c r="N72" s="23"/>
      <c r="O72" s="24">
        <f>H72-J72</f>
        <v>0</v>
      </c>
    </row>
    <row r="73" spans="1:15" x14ac:dyDescent="0.25">
      <c r="A73" s="2">
        <v>14130</v>
      </c>
      <c r="B73" s="2">
        <v>53200</v>
      </c>
      <c r="C73" s="2" t="s">
        <v>20</v>
      </c>
      <c r="G73" s="3"/>
      <c r="H73" s="4">
        <v>10000</v>
      </c>
      <c r="I73" s="4">
        <f>[1]Expense!N56</f>
        <v>3000</v>
      </c>
      <c r="J73" s="4">
        <f>[1]Expense!I56</f>
        <v>12500</v>
      </c>
      <c r="K73" s="4">
        <f>[2]Expense!K54</f>
        <v>10076</v>
      </c>
      <c r="L73" s="4">
        <v>5041.5200000000004</v>
      </c>
      <c r="M73" s="4">
        <v>13068.5</v>
      </c>
      <c r="N73" s="23">
        <f>(H73-J73)/J73</f>
        <v>-0.2</v>
      </c>
      <c r="O73" s="24">
        <f>H73-J73</f>
        <v>-2500</v>
      </c>
    </row>
    <row r="74" spans="1:15" x14ac:dyDescent="0.25">
      <c r="A74" s="2">
        <v>14130</v>
      </c>
      <c r="B74" s="2">
        <v>53410</v>
      </c>
      <c r="C74" s="2" t="s">
        <v>40</v>
      </c>
      <c r="G74" s="3"/>
      <c r="H74" s="4">
        <v>2830</v>
      </c>
      <c r="I74" s="4">
        <f>[1]Expense!N57</f>
        <v>2680</v>
      </c>
      <c r="J74" s="4">
        <f>[1]Expense!I57</f>
        <v>2680</v>
      </c>
      <c r="K74" s="4">
        <f>[2]Expense!K55</f>
        <v>2211.9899999999998</v>
      </c>
      <c r="L74" s="4">
        <v>2475.71</v>
      </c>
      <c r="M74" s="4">
        <v>2545.8200000000002</v>
      </c>
      <c r="N74" s="23">
        <f>(H74-J74)/J74</f>
        <v>5.5970149253731345E-2</v>
      </c>
      <c r="O74" s="24">
        <f>H74-J74</f>
        <v>150</v>
      </c>
    </row>
    <row r="75" spans="1:15" x14ac:dyDescent="0.25">
      <c r="C75" s="2" t="s">
        <v>73</v>
      </c>
      <c r="D75" s="2">
        <v>12</v>
      </c>
      <c r="E75" s="2">
        <v>85</v>
      </c>
      <c r="F75" s="2">
        <v>1020</v>
      </c>
      <c r="G75" s="3"/>
      <c r="H75" s="4"/>
      <c r="I75" s="4"/>
      <c r="N75" s="23"/>
      <c r="O75" s="24">
        <f>H75-J75</f>
        <v>0</v>
      </c>
    </row>
    <row r="76" spans="1:15" x14ac:dyDescent="0.25">
      <c r="C76" s="2" t="s">
        <v>74</v>
      </c>
      <c r="D76" s="2">
        <v>52</v>
      </c>
      <c r="E76" s="2">
        <v>30</v>
      </c>
      <c r="F76" s="2">
        <v>1560</v>
      </c>
      <c r="G76" s="3"/>
      <c r="H76" s="4"/>
      <c r="I76" s="4"/>
      <c r="N76" s="23"/>
      <c r="O76" s="24">
        <f>H76-J76</f>
        <v>0</v>
      </c>
    </row>
    <row r="77" spans="1:15" x14ac:dyDescent="0.25">
      <c r="C77" s="2" t="s">
        <v>75</v>
      </c>
      <c r="D77" s="2">
        <v>1</v>
      </c>
      <c r="E77" s="2">
        <v>250</v>
      </c>
      <c r="F77" s="2">
        <v>250</v>
      </c>
      <c r="G77" s="3"/>
      <c r="H77" s="4"/>
      <c r="I77" s="4"/>
      <c r="N77" s="23"/>
      <c r="O77" s="24">
        <f>H77-J77</f>
        <v>0</v>
      </c>
    </row>
    <row r="78" spans="1:15" x14ac:dyDescent="0.25">
      <c r="A78" s="2">
        <v>14130</v>
      </c>
      <c r="B78" s="2">
        <v>54353</v>
      </c>
      <c r="C78" s="2" t="s">
        <v>51</v>
      </c>
      <c r="G78" s="3"/>
      <c r="H78" s="4">
        <v>3624</v>
      </c>
      <c r="I78" s="4">
        <f>[1]Expense!N58</f>
        <v>3380</v>
      </c>
      <c r="J78" s="4">
        <f>[1]Expense!I58</f>
        <v>3348</v>
      </c>
      <c r="K78" s="4">
        <f>[2]Expense!K56</f>
        <v>3294.12</v>
      </c>
      <c r="L78" s="4">
        <v>2094.36</v>
      </c>
      <c r="M78" s="4">
        <v>1817.04</v>
      </c>
      <c r="N78" s="23">
        <f>(H78-J78)/J78</f>
        <v>8.2437275985663083E-2</v>
      </c>
      <c r="O78" s="24">
        <f>H78-J78</f>
        <v>276</v>
      </c>
    </row>
    <row r="79" spans="1:15" x14ac:dyDescent="0.25">
      <c r="A79" s="2">
        <v>14130</v>
      </c>
      <c r="B79" s="2">
        <v>54800</v>
      </c>
      <c r="C79" s="2" t="s">
        <v>52</v>
      </c>
      <c r="G79" s="3"/>
      <c r="H79" s="3">
        <v>38809</v>
      </c>
      <c r="I79" s="4">
        <f>[1]Expense!N59</f>
        <v>32947</v>
      </c>
      <c r="J79" s="4">
        <f>[1]Expense!I59</f>
        <v>32947</v>
      </c>
      <c r="K79" s="4">
        <f>[2]Expense!K57</f>
        <v>29951.15</v>
      </c>
      <c r="L79" s="4">
        <v>27991.62</v>
      </c>
      <c r="M79" s="4">
        <v>26160.36</v>
      </c>
      <c r="N79" s="23">
        <f>(H79-J79)/J79</f>
        <v>0.17792211733997026</v>
      </c>
      <c r="O79" s="24">
        <f>H79-J79</f>
        <v>5862</v>
      </c>
    </row>
    <row r="80" spans="1:15" x14ac:dyDescent="0.25">
      <c r="A80" s="2">
        <v>14130</v>
      </c>
      <c r="B80" s="2">
        <v>55500</v>
      </c>
      <c r="C80" s="2" t="s">
        <v>53</v>
      </c>
      <c r="G80" s="3"/>
      <c r="H80" s="4">
        <v>450</v>
      </c>
      <c r="I80" s="4">
        <f>[1]Expense!N60</f>
        <v>0</v>
      </c>
      <c r="J80" s="4">
        <f>[1]Expense!I60</f>
        <v>350</v>
      </c>
      <c r="K80" s="4">
        <f>[2]Expense!K58</f>
        <v>0</v>
      </c>
      <c r="L80" s="4">
        <v>202.25</v>
      </c>
      <c r="M80" s="4">
        <v>497.16</v>
      </c>
      <c r="N80" s="23">
        <f>(H80-J80)/J80</f>
        <v>0.2857142857142857</v>
      </c>
      <c r="O80" s="24">
        <f>H80-J80</f>
        <v>100</v>
      </c>
    </row>
    <row r="81" spans="1:15" x14ac:dyDescent="0.25">
      <c r="C81" s="2" t="s">
        <v>76</v>
      </c>
      <c r="D81" s="2">
        <v>1</v>
      </c>
      <c r="E81" s="2">
        <v>450</v>
      </c>
      <c r="F81" s="2">
        <v>450</v>
      </c>
      <c r="G81" s="3"/>
      <c r="H81" s="4"/>
      <c r="I81" s="4"/>
      <c r="N81" s="23"/>
      <c r="O81" s="24">
        <f>H81-J81</f>
        <v>0</v>
      </c>
    </row>
    <row r="82" spans="1:15" x14ac:dyDescent="0.25">
      <c r="A82" s="2">
        <v>14130</v>
      </c>
      <c r="B82" s="2">
        <v>55600</v>
      </c>
      <c r="C82" s="2" t="s">
        <v>77</v>
      </c>
      <c r="G82" s="3"/>
      <c r="H82" s="4">
        <v>9055</v>
      </c>
      <c r="I82" s="4">
        <f>[1]Expense!N61</f>
        <v>8304</v>
      </c>
      <c r="J82" s="4">
        <f>[1]Expense!I61</f>
        <v>8476</v>
      </c>
      <c r="K82" s="4">
        <f>[2]Expense!K59</f>
        <v>6789</v>
      </c>
      <c r="L82" s="4">
        <v>1149</v>
      </c>
      <c r="M82" s="4">
        <v>6813</v>
      </c>
      <c r="N82" s="23">
        <f>(H82-J82)/J82</f>
        <v>6.831052383199622E-2</v>
      </c>
      <c r="O82" s="24">
        <f>H82-J82</f>
        <v>579</v>
      </c>
    </row>
    <row r="83" spans="1:15" x14ac:dyDescent="0.25">
      <c r="C83" s="2" t="s">
        <v>78</v>
      </c>
      <c r="D83" s="2">
        <v>1</v>
      </c>
      <c r="E83" s="2">
        <v>7250</v>
      </c>
      <c r="F83" s="2">
        <v>7250</v>
      </c>
      <c r="G83" s="3"/>
      <c r="H83" s="4"/>
      <c r="I83" s="4"/>
      <c r="N83" s="23"/>
      <c r="O83" s="24">
        <f>H83-J83</f>
        <v>0</v>
      </c>
    </row>
    <row r="84" spans="1:15" x14ac:dyDescent="0.25">
      <c r="C84" s="2" t="s">
        <v>79</v>
      </c>
      <c r="D84" s="2">
        <v>1</v>
      </c>
      <c r="E84" s="2">
        <v>900</v>
      </c>
      <c r="F84" s="2">
        <v>900</v>
      </c>
      <c r="G84" s="3"/>
      <c r="H84" s="4"/>
      <c r="I84" s="4"/>
      <c r="N84" s="23"/>
      <c r="O84" s="24">
        <f>H84-J84</f>
        <v>0</v>
      </c>
    </row>
    <row r="85" spans="1:15" x14ac:dyDescent="0.25">
      <c r="C85" s="2" t="s">
        <v>80</v>
      </c>
      <c r="G85" s="3"/>
      <c r="H85" s="4"/>
      <c r="I85" s="4"/>
      <c r="N85" s="23"/>
      <c r="O85" s="24">
        <f>H85-J85</f>
        <v>0</v>
      </c>
    </row>
    <row r="86" spans="1:15" x14ac:dyDescent="0.25">
      <c r="C86" s="2" t="s">
        <v>81</v>
      </c>
      <c r="D86" s="2">
        <v>1</v>
      </c>
      <c r="E86" s="2">
        <v>250</v>
      </c>
      <c r="F86" s="2">
        <v>250</v>
      </c>
      <c r="G86" s="3"/>
      <c r="H86" s="4"/>
      <c r="I86" s="4"/>
      <c r="N86" s="23"/>
      <c r="O86" s="24">
        <f>H86-J86</f>
        <v>0</v>
      </c>
    </row>
    <row r="87" spans="1:15" x14ac:dyDescent="0.25">
      <c r="C87" s="2" t="s">
        <v>82</v>
      </c>
      <c r="G87" s="3"/>
      <c r="H87" s="4"/>
      <c r="I87" s="4"/>
      <c r="N87" s="23"/>
      <c r="O87" s="24">
        <f>H87-J87</f>
        <v>0</v>
      </c>
    </row>
    <row r="88" spans="1:15" x14ac:dyDescent="0.25">
      <c r="C88" s="2" t="s">
        <v>83</v>
      </c>
      <c r="D88" s="2">
        <v>2</v>
      </c>
      <c r="E88" s="2">
        <v>15</v>
      </c>
      <c r="F88" s="2">
        <v>30</v>
      </c>
      <c r="G88" s="3"/>
      <c r="H88" s="4"/>
      <c r="I88" s="4"/>
      <c r="N88" s="23"/>
      <c r="O88" s="24">
        <f>H88-J88</f>
        <v>0</v>
      </c>
    </row>
    <row r="89" spans="1:15" x14ac:dyDescent="0.25">
      <c r="C89" s="2" t="s">
        <v>84</v>
      </c>
      <c r="G89" s="3"/>
      <c r="H89" s="4"/>
      <c r="I89" s="4"/>
      <c r="N89" s="23"/>
      <c r="O89" s="24">
        <f>H89-J89</f>
        <v>0</v>
      </c>
    </row>
    <row r="90" spans="1:15" x14ac:dyDescent="0.25">
      <c r="C90" s="2" t="s">
        <v>85</v>
      </c>
      <c r="D90" s="2">
        <v>1</v>
      </c>
      <c r="E90" s="2">
        <v>625</v>
      </c>
      <c r="F90" s="2">
        <v>625</v>
      </c>
      <c r="G90" s="3"/>
      <c r="H90" s="4"/>
      <c r="I90" s="4"/>
      <c r="N90" s="23"/>
      <c r="O90" s="24">
        <f>H90-J90</f>
        <v>0</v>
      </c>
    </row>
    <row r="91" spans="1:15" x14ac:dyDescent="0.25">
      <c r="A91" s="2">
        <v>14130</v>
      </c>
      <c r="B91" s="2">
        <v>56105</v>
      </c>
      <c r="C91" s="2" t="s">
        <v>54</v>
      </c>
      <c r="G91" s="3"/>
      <c r="H91" s="4">
        <v>200</v>
      </c>
      <c r="I91" s="4">
        <f>[1]Expense!N62</f>
        <v>153</v>
      </c>
      <c r="J91" s="4">
        <f>[1]Expense!I62</f>
        <v>300</v>
      </c>
      <c r="K91" s="4">
        <f>[2]Expense!K60</f>
        <v>440</v>
      </c>
      <c r="L91" s="3">
        <v>165.75</v>
      </c>
      <c r="M91" s="4">
        <v>51</v>
      </c>
      <c r="N91" s="23">
        <f>(H91-J91)/J91</f>
        <v>-0.33333333333333331</v>
      </c>
      <c r="O91" s="24">
        <f>H91-J91</f>
        <v>-100</v>
      </c>
    </row>
    <row r="92" spans="1:15" x14ac:dyDescent="0.25">
      <c r="A92" s="2">
        <v>14130</v>
      </c>
      <c r="B92" s="2">
        <v>56106</v>
      </c>
      <c r="C92" s="2" t="s">
        <v>86</v>
      </c>
      <c r="G92" s="3"/>
      <c r="H92" s="4">
        <v>2500</v>
      </c>
      <c r="I92" s="4">
        <f>[1]Expense!N63</f>
        <v>2000</v>
      </c>
      <c r="J92" s="4">
        <f>[1]Expense!I63</f>
        <v>2000</v>
      </c>
      <c r="K92" s="4">
        <f>[2]Expense!K61</f>
        <v>2000</v>
      </c>
      <c r="L92" s="4">
        <v>2437.5</v>
      </c>
      <c r="M92" s="4">
        <v>7500</v>
      </c>
      <c r="N92" s="23">
        <f>(H92-J92)/J92</f>
        <v>0.25</v>
      </c>
      <c r="O92" s="24">
        <f>H92-J92</f>
        <v>500</v>
      </c>
    </row>
    <row r="93" spans="1:15" x14ac:dyDescent="0.25">
      <c r="A93" s="2">
        <v>14130</v>
      </c>
      <c r="B93" s="2">
        <v>56110</v>
      </c>
      <c r="C93" s="2" t="s">
        <v>55</v>
      </c>
      <c r="G93" s="3"/>
      <c r="H93" s="4">
        <f>SUM(E94:E96)</f>
        <v>3000</v>
      </c>
      <c r="I93" s="4">
        <f>[1]Expense!N64</f>
        <v>2108</v>
      </c>
      <c r="J93" s="4">
        <f>[1]Expense!I64</f>
        <v>3900</v>
      </c>
      <c r="K93" s="4">
        <f>[2]Expense!K62</f>
        <v>2738.19</v>
      </c>
      <c r="L93" s="4">
        <v>2701.72</v>
      </c>
      <c r="M93" s="4">
        <v>10756.2</v>
      </c>
      <c r="N93" s="23">
        <f>(H93-J93)/J93</f>
        <v>-0.23076923076923078</v>
      </c>
      <c r="O93" s="24">
        <f>H93-J93</f>
        <v>-900</v>
      </c>
    </row>
    <row r="94" spans="1:15" x14ac:dyDescent="0.25">
      <c r="C94" s="2" t="s">
        <v>87</v>
      </c>
      <c r="D94" s="2">
        <v>1</v>
      </c>
      <c r="E94" s="2">
        <v>400</v>
      </c>
      <c r="F94" s="2">
        <v>400</v>
      </c>
      <c r="G94" s="3"/>
      <c r="H94" s="4"/>
      <c r="I94" s="4"/>
      <c r="N94" s="23"/>
      <c r="O94" s="24">
        <f>H94-J94</f>
        <v>0</v>
      </c>
    </row>
    <row r="95" spans="1:15" x14ac:dyDescent="0.25">
      <c r="C95" s="2" t="s">
        <v>88</v>
      </c>
      <c r="D95" s="2">
        <v>1</v>
      </c>
      <c r="E95" s="2">
        <v>750</v>
      </c>
      <c r="F95" s="2">
        <v>750</v>
      </c>
      <c r="G95" s="3"/>
      <c r="H95" s="4"/>
      <c r="I95" s="4"/>
      <c r="N95" s="23"/>
      <c r="O95" s="24">
        <f>H95-J95</f>
        <v>0</v>
      </c>
    </row>
    <row r="96" spans="1:15" x14ac:dyDescent="0.25">
      <c r="C96" s="2" t="s">
        <v>89</v>
      </c>
      <c r="D96" s="2">
        <v>1</v>
      </c>
      <c r="E96" s="2">
        <v>1850</v>
      </c>
      <c r="F96" s="2">
        <v>1850</v>
      </c>
      <c r="G96" s="3"/>
      <c r="H96" s="4"/>
      <c r="I96" s="4"/>
      <c r="N96" s="23"/>
      <c r="O96" s="24">
        <f>H96-J96</f>
        <v>0</v>
      </c>
    </row>
    <row r="97" spans="1:15" x14ac:dyDescent="0.25">
      <c r="A97" s="2">
        <v>14130</v>
      </c>
      <c r="B97" s="2">
        <v>56130</v>
      </c>
      <c r="C97" s="2" t="s">
        <v>22</v>
      </c>
      <c r="G97" s="3"/>
      <c r="H97" s="4">
        <v>500</v>
      </c>
      <c r="I97" s="4">
        <f>[1]Expense!N65</f>
        <v>2500</v>
      </c>
      <c r="J97" s="4">
        <f>[1]Expense!I65</f>
        <v>500</v>
      </c>
      <c r="K97" s="4">
        <f>[2]Expense!K63</f>
        <v>377.2</v>
      </c>
      <c r="L97" s="4">
        <v>231.16</v>
      </c>
      <c r="M97" s="4">
        <v>16.68</v>
      </c>
      <c r="N97" s="23">
        <f>(H97-J97)/J97</f>
        <v>0</v>
      </c>
      <c r="O97" s="24">
        <f>H97-J97</f>
        <v>0</v>
      </c>
    </row>
    <row r="98" spans="1:15" x14ac:dyDescent="0.25">
      <c r="A98" s="2">
        <v>14130</v>
      </c>
      <c r="B98" s="2">
        <v>56200</v>
      </c>
      <c r="C98" s="2" t="s">
        <v>56</v>
      </c>
      <c r="G98" s="3"/>
      <c r="H98" s="4">
        <v>800</v>
      </c>
      <c r="I98" s="4">
        <f>[1]Expense!N66</f>
        <v>900</v>
      </c>
      <c r="J98" s="4">
        <f>[1]Expense!I66</f>
        <v>500</v>
      </c>
      <c r="K98" s="4">
        <f>[2]Expense!K64</f>
        <v>650.42999999999995</v>
      </c>
      <c r="L98" s="4">
        <v>462.41</v>
      </c>
      <c r="M98" s="4">
        <v>619.82000000000005</v>
      </c>
      <c r="N98" s="23">
        <f>(H98-J98)/J98</f>
        <v>0.6</v>
      </c>
      <c r="O98" s="24">
        <f>H98-J98</f>
        <v>300</v>
      </c>
    </row>
    <row r="99" spans="1:15" x14ac:dyDescent="0.25">
      <c r="A99" s="2">
        <v>14130</v>
      </c>
      <c r="B99" s="2">
        <v>56250</v>
      </c>
      <c r="C99" s="2" t="s">
        <v>57</v>
      </c>
      <c r="G99" s="3"/>
      <c r="H99" s="4">
        <v>1000</v>
      </c>
      <c r="I99" s="4">
        <f>[1]Expense!N67</f>
        <v>1000</v>
      </c>
      <c r="J99" s="4">
        <f>[1]Expense!I67</f>
        <v>900</v>
      </c>
      <c r="K99" s="4">
        <f>[2]Expense!K65</f>
        <v>1019.02</v>
      </c>
      <c r="L99" s="4">
        <v>904.38</v>
      </c>
      <c r="M99" s="4">
        <v>828.66</v>
      </c>
      <c r="N99" s="23">
        <f>(H99-J99)/J99</f>
        <v>0.1111111111111111</v>
      </c>
      <c r="O99" s="24">
        <f>H99-J99</f>
        <v>100</v>
      </c>
    </row>
    <row r="100" spans="1:15" s="5" customFormat="1" x14ac:dyDescent="0.25">
      <c r="A100" s="5" t="s">
        <v>23</v>
      </c>
      <c r="B100" s="5" t="s">
        <v>90</v>
      </c>
      <c r="G100" s="21">
        <f t="shared" ref="G100:M100" si="2">SUM(G53:G99)</f>
        <v>0</v>
      </c>
      <c r="H100" s="21">
        <f t="shared" si="2"/>
        <v>475098</v>
      </c>
      <c r="I100" s="22">
        <f t="shared" si="2"/>
        <v>421138</v>
      </c>
      <c r="J100" s="22">
        <f t="shared" si="2"/>
        <v>430671</v>
      </c>
      <c r="K100" s="22">
        <f t="shared" si="2"/>
        <v>395641.00999999995</v>
      </c>
      <c r="L100" s="21">
        <f t="shared" si="2"/>
        <v>390251.84999999992</v>
      </c>
      <c r="M100" s="21">
        <f t="shared" si="2"/>
        <v>405196.38999999996</v>
      </c>
      <c r="N100" s="25">
        <f>(H100-J100)/J100</f>
        <v>0.10315763076687309</v>
      </c>
      <c r="O100" s="26">
        <f>H100-J100</f>
        <v>44427</v>
      </c>
    </row>
    <row r="101" spans="1:15" x14ac:dyDescent="0.25">
      <c r="I101" s="4"/>
      <c r="K101" s="22"/>
      <c r="N101" s="23"/>
      <c r="O101" s="24">
        <f>H101-J101</f>
        <v>0</v>
      </c>
    </row>
    <row r="102" spans="1:15" s="5" customFormat="1" x14ac:dyDescent="0.25">
      <c r="H102" s="21"/>
      <c r="J102" s="22"/>
      <c r="K102" s="4"/>
      <c r="L102" s="22"/>
      <c r="M102" s="22"/>
      <c r="N102" s="23"/>
      <c r="O102" s="24">
        <f>H102-J102</f>
        <v>0</v>
      </c>
    </row>
    <row r="103" spans="1:15" s="5" customFormat="1" x14ac:dyDescent="0.25">
      <c r="A103" s="5">
        <v>14135</v>
      </c>
      <c r="B103" s="5" t="s">
        <v>91</v>
      </c>
      <c r="H103" s="21"/>
      <c r="I103" s="2"/>
      <c r="J103" s="22"/>
      <c r="K103" s="4"/>
      <c r="L103" s="22"/>
      <c r="M103" s="22"/>
      <c r="N103" s="23"/>
      <c r="O103" s="24">
        <f>H103-J103</f>
        <v>0</v>
      </c>
    </row>
    <row r="104" spans="1:15" s="5" customFormat="1" x14ac:dyDescent="0.25">
      <c r="A104" s="2">
        <v>14135</v>
      </c>
      <c r="B104" s="2">
        <v>51100</v>
      </c>
      <c r="C104" s="2" t="s">
        <v>26</v>
      </c>
      <c r="D104" s="2"/>
      <c r="E104" s="2"/>
      <c r="F104" s="2"/>
      <c r="G104" s="3"/>
      <c r="H104" s="4">
        <f>SUM(F105:F106)</f>
        <v>32179</v>
      </c>
      <c r="I104" s="4">
        <f>[1]Expense!N71</f>
        <v>32179</v>
      </c>
      <c r="J104" s="4">
        <f>[1]Expense!I71</f>
        <v>37001</v>
      </c>
      <c r="K104" s="4"/>
      <c r="L104" s="22"/>
      <c r="M104" s="22"/>
      <c r="N104" s="23">
        <f>(H104-J104)/J104</f>
        <v>-0.13032080214048269</v>
      </c>
      <c r="O104" s="24">
        <f>H104-J104</f>
        <v>-4822</v>
      </c>
    </row>
    <row r="105" spans="1:15" s="5" customFormat="1" x14ac:dyDescent="0.25">
      <c r="A105" s="2"/>
      <c r="B105" s="2"/>
      <c r="C105" s="2" t="s">
        <v>92</v>
      </c>
      <c r="D105" s="2"/>
      <c r="E105" s="2"/>
      <c r="F105" s="24">
        <v>55405</v>
      </c>
      <c r="G105" s="3"/>
      <c r="H105" s="4"/>
      <c r="I105" s="4"/>
      <c r="J105" s="4"/>
      <c r="K105" s="4"/>
      <c r="L105" s="22"/>
      <c r="M105" s="22"/>
      <c r="N105" s="23"/>
      <c r="O105" s="24">
        <f>H105-J105</f>
        <v>0</v>
      </c>
    </row>
    <row r="106" spans="1:15" s="5" customFormat="1" x14ac:dyDescent="0.25">
      <c r="A106" s="2"/>
      <c r="B106" s="2"/>
      <c r="C106" s="2" t="s">
        <v>93</v>
      </c>
      <c r="D106" s="2"/>
      <c r="E106" s="2"/>
      <c r="F106" s="2">
        <v>-23226</v>
      </c>
      <c r="G106" s="3"/>
      <c r="H106" s="4"/>
      <c r="I106" s="4"/>
      <c r="J106" s="4"/>
      <c r="K106" s="4"/>
      <c r="L106" s="22"/>
      <c r="M106" s="22"/>
      <c r="N106" s="23"/>
      <c r="O106" s="24">
        <f>H106-J106</f>
        <v>0</v>
      </c>
    </row>
    <row r="107" spans="1:15" s="5" customFormat="1" x14ac:dyDescent="0.25">
      <c r="A107" s="2">
        <v>14135</v>
      </c>
      <c r="B107" s="2">
        <v>51500</v>
      </c>
      <c r="C107" s="2" t="s">
        <v>94</v>
      </c>
      <c r="D107" s="2"/>
      <c r="E107" s="2"/>
      <c r="F107" s="2"/>
      <c r="G107" s="3"/>
      <c r="H107" s="4">
        <f>SUM(F108:F109)</f>
        <v>2700</v>
      </c>
      <c r="I107" s="4">
        <f>[1]Expense!N72</f>
        <v>580</v>
      </c>
      <c r="J107" s="4">
        <f>[1]Expense!I72</f>
        <v>0</v>
      </c>
      <c r="K107" s="4"/>
      <c r="L107" s="22"/>
      <c r="M107" s="22"/>
      <c r="N107" s="23"/>
      <c r="O107" s="24">
        <f>H107-J107</f>
        <v>2700</v>
      </c>
    </row>
    <row r="108" spans="1:15" s="5" customFormat="1" x14ac:dyDescent="0.25">
      <c r="A108" s="2"/>
      <c r="B108" s="2"/>
      <c r="C108" s="2" t="s">
        <v>95</v>
      </c>
      <c r="D108" s="2"/>
      <c r="E108" s="2"/>
      <c r="F108" s="2">
        <v>4500</v>
      </c>
      <c r="G108" s="3"/>
      <c r="H108" s="4"/>
      <c r="I108" s="4"/>
      <c r="J108" s="4"/>
      <c r="K108" s="4"/>
      <c r="L108" s="22"/>
      <c r="M108" s="22"/>
      <c r="N108" s="23"/>
      <c r="O108" s="24">
        <f>H108-J108</f>
        <v>0</v>
      </c>
    </row>
    <row r="109" spans="1:15" s="5" customFormat="1" x14ac:dyDescent="0.25">
      <c r="A109" s="2"/>
      <c r="B109" s="2"/>
      <c r="C109" s="2" t="s">
        <v>93</v>
      </c>
      <c r="D109" s="2"/>
      <c r="E109" s="2"/>
      <c r="F109" s="2">
        <v>-1800</v>
      </c>
      <c r="G109" s="3"/>
      <c r="H109" s="4"/>
      <c r="I109" s="4"/>
      <c r="J109" s="4"/>
      <c r="K109" s="4"/>
      <c r="L109" s="22"/>
      <c r="M109" s="22"/>
      <c r="N109" s="23"/>
      <c r="O109" s="24">
        <f>H109-J109</f>
        <v>0</v>
      </c>
    </row>
    <row r="110" spans="1:15" s="5" customFormat="1" x14ac:dyDescent="0.25">
      <c r="A110" s="2">
        <v>14135</v>
      </c>
      <c r="B110" s="2">
        <v>52100</v>
      </c>
      <c r="C110" s="2" t="s">
        <v>33</v>
      </c>
      <c r="D110" s="2"/>
      <c r="E110" s="2"/>
      <c r="F110" s="2"/>
      <c r="G110" s="3"/>
      <c r="H110" s="4"/>
      <c r="I110" s="4">
        <f>[1]Expense!N73</f>
        <v>0</v>
      </c>
      <c r="J110" s="4">
        <f>[1]Expense!I73</f>
        <v>24330</v>
      </c>
      <c r="K110" s="4"/>
      <c r="L110" s="22"/>
      <c r="M110" s="22"/>
      <c r="N110" s="23">
        <f>(H110-J110)/J110</f>
        <v>-1</v>
      </c>
      <c r="O110" s="24">
        <f>H110-J110</f>
        <v>-24330</v>
      </c>
    </row>
    <row r="111" spans="1:15" s="5" customFormat="1" x14ac:dyDescent="0.25">
      <c r="A111" s="2">
        <v>14135</v>
      </c>
      <c r="B111" s="2">
        <v>52200</v>
      </c>
      <c r="C111" s="2" t="s">
        <v>96</v>
      </c>
      <c r="D111" s="2"/>
      <c r="E111" s="2"/>
      <c r="F111" s="2"/>
      <c r="G111" s="3"/>
      <c r="H111" s="4">
        <v>2550</v>
      </c>
      <c r="I111" s="4">
        <f>[1]Expense!N74</f>
        <v>2520</v>
      </c>
      <c r="J111" s="4">
        <f>[1]Expense!I74</f>
        <v>2850</v>
      </c>
      <c r="K111" s="4"/>
      <c r="L111" s="22"/>
      <c r="M111" s="22"/>
      <c r="N111" s="23">
        <f>(H111-J111)/J111</f>
        <v>-0.10526315789473684</v>
      </c>
      <c r="O111" s="24">
        <f>H111-J111</f>
        <v>-300</v>
      </c>
    </row>
    <row r="112" spans="1:15" s="5" customFormat="1" x14ac:dyDescent="0.25">
      <c r="A112" s="2"/>
      <c r="B112" s="2"/>
      <c r="C112" s="2" t="s">
        <v>95</v>
      </c>
      <c r="D112" s="2"/>
      <c r="E112" s="2"/>
      <c r="F112" s="2">
        <v>4327</v>
      </c>
      <c r="G112" s="3"/>
      <c r="H112" s="4"/>
      <c r="I112" s="4"/>
      <c r="J112" s="4"/>
      <c r="K112" s="4"/>
      <c r="L112" s="22"/>
      <c r="M112" s="22"/>
      <c r="N112" s="23"/>
      <c r="O112" s="24">
        <f>H112-J112</f>
        <v>0</v>
      </c>
    </row>
    <row r="113" spans="1:15" s="5" customFormat="1" x14ac:dyDescent="0.25">
      <c r="A113" s="2"/>
      <c r="B113" s="2"/>
      <c r="C113" s="2" t="s">
        <v>93</v>
      </c>
      <c r="D113" s="2"/>
      <c r="E113" s="2"/>
      <c r="F113" s="2">
        <v>-1777</v>
      </c>
      <c r="G113" s="3"/>
      <c r="H113" s="4"/>
      <c r="I113" s="4"/>
      <c r="J113" s="4"/>
      <c r="K113" s="4"/>
      <c r="L113" s="22"/>
      <c r="M113" s="22"/>
      <c r="N113" s="23"/>
      <c r="O113" s="24">
        <f>H113-J113</f>
        <v>0</v>
      </c>
    </row>
    <row r="114" spans="1:15" s="5" customFormat="1" x14ac:dyDescent="0.25">
      <c r="A114" s="2">
        <v>14135</v>
      </c>
      <c r="B114" s="2">
        <v>52230</v>
      </c>
      <c r="C114" s="2" t="s">
        <v>36</v>
      </c>
      <c r="D114" s="2"/>
      <c r="E114" s="2"/>
      <c r="F114" s="2"/>
      <c r="G114" s="3"/>
      <c r="H114" s="4">
        <f>SUM(F115:F116)</f>
        <v>4550</v>
      </c>
      <c r="I114" s="4">
        <f>[1]Expense!N75</f>
        <v>3036</v>
      </c>
      <c r="J114" s="4">
        <f>[1]Expense!I75</f>
        <v>5100</v>
      </c>
      <c r="K114" s="4"/>
      <c r="L114" s="22"/>
      <c r="M114" s="22"/>
      <c r="N114" s="23">
        <f>(H114-J114)/J114</f>
        <v>-0.10784313725490197</v>
      </c>
      <c r="O114" s="24">
        <f>H114-J114</f>
        <v>-550</v>
      </c>
    </row>
    <row r="115" spans="1:15" s="5" customFormat="1" x14ac:dyDescent="0.25">
      <c r="A115" s="2"/>
      <c r="B115" s="2"/>
      <c r="C115" s="2" t="s">
        <v>95</v>
      </c>
      <c r="D115" s="2"/>
      <c r="E115" s="2"/>
      <c r="F115" s="2">
        <v>7693</v>
      </c>
      <c r="G115" s="3"/>
      <c r="H115" s="4"/>
      <c r="I115" s="4"/>
      <c r="J115" s="4"/>
      <c r="K115" s="4"/>
      <c r="L115" s="22"/>
      <c r="M115" s="22"/>
      <c r="N115" s="23"/>
      <c r="O115" s="24">
        <f>H115-J115</f>
        <v>0</v>
      </c>
    </row>
    <row r="116" spans="1:15" s="5" customFormat="1" x14ac:dyDescent="0.25">
      <c r="A116" s="2"/>
      <c r="B116" s="2"/>
      <c r="C116" s="2" t="s">
        <v>93</v>
      </c>
      <c r="D116" s="2"/>
      <c r="E116" s="2"/>
      <c r="F116" s="2">
        <v>-3143</v>
      </c>
      <c r="G116" s="3"/>
      <c r="H116" s="4"/>
      <c r="I116" s="4"/>
      <c r="J116" s="4"/>
      <c r="K116" s="4"/>
      <c r="L116" s="22"/>
      <c r="M116" s="22"/>
      <c r="N116" s="23"/>
      <c r="O116" s="24">
        <f>H116-J116</f>
        <v>0</v>
      </c>
    </row>
    <row r="117" spans="1:15" s="5" customFormat="1" x14ac:dyDescent="0.25">
      <c r="A117" s="2">
        <v>14135</v>
      </c>
      <c r="B117" s="2">
        <v>53410</v>
      </c>
      <c r="C117" s="2" t="s">
        <v>97</v>
      </c>
      <c r="D117" s="2"/>
      <c r="E117" s="2"/>
      <c r="F117" s="2"/>
      <c r="G117" s="3"/>
      <c r="H117" s="4">
        <f>SUM(F118:F119)</f>
        <v>468</v>
      </c>
      <c r="I117" s="4">
        <f>[1]Expense!N76</f>
        <v>450</v>
      </c>
      <c r="J117" s="4">
        <f>[1]Expense!I76</f>
        <v>0</v>
      </c>
      <c r="K117" s="4"/>
      <c r="L117" s="22"/>
      <c r="M117" s="22"/>
      <c r="N117" s="23"/>
      <c r="O117" s="24">
        <f>H117-J117</f>
        <v>468</v>
      </c>
    </row>
    <row r="118" spans="1:15" s="5" customFormat="1" x14ac:dyDescent="0.25">
      <c r="A118" s="2"/>
      <c r="B118" s="2"/>
      <c r="C118" s="2" t="s">
        <v>95</v>
      </c>
      <c r="D118" s="2"/>
      <c r="E118" s="2"/>
      <c r="F118" s="2">
        <v>780</v>
      </c>
      <c r="G118" s="3"/>
      <c r="H118" s="4"/>
      <c r="I118" s="4"/>
      <c r="J118" s="4"/>
      <c r="K118" s="4"/>
      <c r="L118" s="22"/>
      <c r="M118" s="22"/>
      <c r="N118" s="23"/>
      <c r="O118" s="24">
        <f>H118-J118</f>
        <v>0</v>
      </c>
    </row>
    <row r="119" spans="1:15" s="5" customFormat="1" x14ac:dyDescent="0.25">
      <c r="A119" s="2"/>
      <c r="B119" s="2"/>
      <c r="C119" s="2" t="s">
        <v>93</v>
      </c>
      <c r="D119" s="2"/>
      <c r="E119" s="2"/>
      <c r="F119" s="2">
        <v>-312</v>
      </c>
      <c r="G119" s="3"/>
      <c r="H119" s="4"/>
      <c r="I119" s="4"/>
      <c r="J119" s="4"/>
      <c r="K119" s="4"/>
      <c r="L119" s="22"/>
      <c r="M119" s="22"/>
      <c r="N119" s="23"/>
      <c r="O119" s="24">
        <f>H119-J119</f>
        <v>0</v>
      </c>
    </row>
    <row r="120" spans="1:15" x14ac:dyDescent="0.25">
      <c r="A120" s="2">
        <v>14135</v>
      </c>
      <c r="B120" s="2">
        <v>53420</v>
      </c>
      <c r="C120" s="2" t="s">
        <v>98</v>
      </c>
      <c r="G120" s="3"/>
      <c r="H120" s="4">
        <v>85438</v>
      </c>
      <c r="I120" s="4">
        <f>[1]Expense!N77</f>
        <v>80980</v>
      </c>
      <c r="J120" s="4">
        <f>[1]Expense!I77</f>
        <v>67185</v>
      </c>
      <c r="K120" s="4">
        <f>[2]Expense!K69</f>
        <v>78430.679999999993</v>
      </c>
      <c r="L120" s="4">
        <v>79544.2</v>
      </c>
      <c r="M120" s="4">
        <v>81335.509999999995</v>
      </c>
      <c r="N120" s="23">
        <f>(H120-J120)/J120</f>
        <v>0.27168266726203766</v>
      </c>
      <c r="O120" s="24">
        <f>H120-J120</f>
        <v>18253</v>
      </c>
    </row>
    <row r="121" spans="1:15" x14ac:dyDescent="0.25">
      <c r="A121" s="2">
        <v>14135</v>
      </c>
      <c r="B121" s="2">
        <v>53425</v>
      </c>
      <c r="C121" s="2" t="s">
        <v>44</v>
      </c>
      <c r="G121" s="3"/>
      <c r="H121" s="3">
        <v>2454</v>
      </c>
      <c r="I121" s="4">
        <f>[1]Expense!N78</f>
        <v>3312</v>
      </c>
      <c r="J121" s="4">
        <f>[1]Expense!I78</f>
        <v>70387</v>
      </c>
      <c r="K121" s="4">
        <f>[2]Expense!K70</f>
        <v>61916.72</v>
      </c>
      <c r="L121" s="4">
        <v>39679.54</v>
      </c>
      <c r="M121" s="4">
        <v>39169.46</v>
      </c>
      <c r="N121" s="23">
        <f>(H121-J121)/J121</f>
        <v>-0.96513560742750792</v>
      </c>
      <c r="O121" s="24">
        <f>H121-J121</f>
        <v>-67933</v>
      </c>
    </row>
    <row r="122" spans="1:15" x14ac:dyDescent="0.25">
      <c r="C122" s="2" t="s">
        <v>99</v>
      </c>
      <c r="D122" s="2">
        <v>3</v>
      </c>
      <c r="E122" s="2">
        <v>150</v>
      </c>
      <c r="F122" s="2">
        <v>450</v>
      </c>
      <c r="G122" s="3"/>
      <c r="I122" s="4"/>
      <c r="N122" s="23"/>
      <c r="O122" s="24">
        <f>H122-J122</f>
        <v>0</v>
      </c>
    </row>
    <row r="123" spans="1:15" x14ac:dyDescent="0.25">
      <c r="C123" s="2" t="s">
        <v>100</v>
      </c>
      <c r="D123" s="2">
        <v>1</v>
      </c>
      <c r="E123" s="2">
        <v>1534</v>
      </c>
      <c r="F123" s="2">
        <v>1534</v>
      </c>
      <c r="G123" s="3"/>
      <c r="I123" s="4"/>
      <c r="N123" s="23"/>
      <c r="O123" s="24">
        <f>H123-J123</f>
        <v>0</v>
      </c>
    </row>
    <row r="124" spans="1:15" x14ac:dyDescent="0.25">
      <c r="C124" s="2" t="s">
        <v>101</v>
      </c>
      <c r="D124" s="2">
        <v>1</v>
      </c>
      <c r="E124" s="2">
        <v>470</v>
      </c>
      <c r="F124" s="2">
        <v>470</v>
      </c>
      <c r="G124" s="3"/>
      <c r="I124" s="4"/>
      <c r="N124" s="23"/>
      <c r="O124" s="24">
        <f>H124-J124</f>
        <v>0</v>
      </c>
    </row>
    <row r="125" spans="1:15" x14ac:dyDescent="0.25">
      <c r="A125" s="2">
        <v>14135</v>
      </c>
      <c r="B125" s="2">
        <v>53426</v>
      </c>
      <c r="C125" s="2" t="s">
        <v>102</v>
      </c>
      <c r="G125" s="3"/>
      <c r="H125" s="3">
        <v>33223</v>
      </c>
      <c r="I125" s="4">
        <f>[1]Expense!N79</f>
        <v>31631.11</v>
      </c>
      <c r="J125" s="4">
        <f>[1]Expense!I79</f>
        <v>0</v>
      </c>
      <c r="N125" s="23"/>
      <c r="O125" s="24">
        <f>H125-J125</f>
        <v>33223</v>
      </c>
    </row>
    <row r="126" spans="1:15" x14ac:dyDescent="0.25">
      <c r="A126" s="2">
        <v>14135</v>
      </c>
      <c r="B126" s="2">
        <v>53427</v>
      </c>
      <c r="C126" s="2" t="s">
        <v>103</v>
      </c>
      <c r="G126" s="3"/>
      <c r="H126" s="3">
        <v>12890</v>
      </c>
      <c r="I126" s="4">
        <f>[1]Expense!N80</f>
        <v>12203.25</v>
      </c>
      <c r="J126" s="4">
        <f>[1]Expense!I80</f>
        <v>0</v>
      </c>
      <c r="N126" s="23"/>
      <c r="O126" s="24">
        <f>H126-J126</f>
        <v>12890</v>
      </c>
    </row>
    <row r="127" spans="1:15" x14ac:dyDescent="0.25">
      <c r="A127" s="2">
        <v>14135</v>
      </c>
      <c r="B127" s="2">
        <v>53428</v>
      </c>
      <c r="C127" s="2" t="s">
        <v>104</v>
      </c>
      <c r="G127" s="3"/>
      <c r="H127" s="3">
        <v>28800</v>
      </c>
      <c r="I127" s="4">
        <f>[1]Expense!N81</f>
        <v>29160</v>
      </c>
      <c r="J127" s="4">
        <f>[1]Expense!I81</f>
        <v>0</v>
      </c>
      <c r="N127" s="23"/>
      <c r="O127" s="24">
        <f>H127-J127</f>
        <v>28800</v>
      </c>
    </row>
    <row r="128" spans="1:15" x14ac:dyDescent="0.25">
      <c r="A128" s="2">
        <v>14135</v>
      </c>
      <c r="B128" s="2">
        <v>53429</v>
      </c>
      <c r="C128" s="2" t="s">
        <v>105</v>
      </c>
      <c r="G128" s="3"/>
      <c r="H128" s="3">
        <v>3744</v>
      </c>
      <c r="I128" s="4">
        <f>[1]Expense!N82</f>
        <v>5603</v>
      </c>
      <c r="J128" s="4">
        <f>[1]Expense!I82</f>
        <v>0</v>
      </c>
      <c r="N128" s="23"/>
      <c r="O128" s="24">
        <f>H128-J128</f>
        <v>3744</v>
      </c>
    </row>
    <row r="129" spans="1:15" x14ac:dyDescent="0.25">
      <c r="A129" s="2">
        <v>14135</v>
      </c>
      <c r="B129" s="2">
        <v>53430</v>
      </c>
      <c r="C129" s="2" t="s">
        <v>106</v>
      </c>
      <c r="G129" s="3"/>
      <c r="H129" s="3">
        <v>4080</v>
      </c>
      <c r="I129" s="4">
        <f>[1]Expense!N83</f>
        <v>4049.98</v>
      </c>
      <c r="J129" s="4">
        <f>[1]Expense!I83</f>
        <v>0</v>
      </c>
      <c r="N129" s="23"/>
      <c r="O129" s="24">
        <f>H129-J129</f>
        <v>4080</v>
      </c>
    </row>
    <row r="130" spans="1:15" x14ac:dyDescent="0.25">
      <c r="A130" s="2">
        <v>14135</v>
      </c>
      <c r="B130" s="2">
        <v>53435</v>
      </c>
      <c r="C130" s="2" t="s">
        <v>107</v>
      </c>
      <c r="G130" s="3"/>
      <c r="H130" s="3">
        <v>49200</v>
      </c>
      <c r="I130" s="4">
        <f>[1]Expense!N84</f>
        <v>16709</v>
      </c>
      <c r="J130" s="4">
        <f>[1]Expense!I84</f>
        <v>22500</v>
      </c>
      <c r="K130" s="4">
        <f>[2]Expense!K71</f>
        <v>1702</v>
      </c>
      <c r="L130" s="4">
        <v>9986.08</v>
      </c>
      <c r="M130" s="4">
        <v>12755.02</v>
      </c>
      <c r="N130" s="23">
        <f>(H130-J130)/J130</f>
        <v>1.1866666666666668</v>
      </c>
      <c r="O130" s="24">
        <f>H130-J130</f>
        <v>26700</v>
      </c>
    </row>
    <row r="131" spans="1:15" x14ac:dyDescent="0.25">
      <c r="C131" s="2" t="s">
        <v>108</v>
      </c>
      <c r="D131" s="2">
        <v>1</v>
      </c>
      <c r="E131" s="2">
        <v>45000</v>
      </c>
      <c r="F131" s="2">
        <v>45000</v>
      </c>
      <c r="G131" s="3"/>
      <c r="I131" s="4"/>
      <c r="N131" s="23"/>
      <c r="O131" s="24">
        <f>H131-J131</f>
        <v>0</v>
      </c>
    </row>
    <row r="132" spans="1:15" x14ac:dyDescent="0.25">
      <c r="C132" s="2" t="s">
        <v>109</v>
      </c>
      <c r="D132" s="2">
        <v>1</v>
      </c>
      <c r="E132" s="2">
        <v>1200</v>
      </c>
      <c r="F132" s="2">
        <v>1200</v>
      </c>
      <c r="G132" s="3"/>
      <c r="I132" s="4"/>
      <c r="N132" s="23"/>
      <c r="O132" s="24">
        <f>H132-J132</f>
        <v>0</v>
      </c>
    </row>
    <row r="133" spans="1:15" x14ac:dyDescent="0.25">
      <c r="C133" s="2" t="s">
        <v>110</v>
      </c>
      <c r="D133" s="2">
        <v>3</v>
      </c>
      <c r="E133" s="2">
        <v>1000</v>
      </c>
      <c r="F133" s="2">
        <v>3000</v>
      </c>
      <c r="G133" s="3"/>
      <c r="I133" s="4"/>
      <c r="N133" s="23"/>
      <c r="O133" s="24">
        <f>H133-J133</f>
        <v>0</v>
      </c>
    </row>
    <row r="134" spans="1:15" x14ac:dyDescent="0.25">
      <c r="A134" s="2">
        <v>14135</v>
      </c>
      <c r="B134" s="2">
        <v>53440</v>
      </c>
      <c r="C134" s="2" t="s">
        <v>111</v>
      </c>
      <c r="G134" s="3"/>
      <c r="H134" s="3">
        <v>8376</v>
      </c>
      <c r="I134" s="4">
        <f>[1]Expense!N85</f>
        <v>14000</v>
      </c>
      <c r="J134" s="4">
        <f>[1]Expense!I85</f>
        <v>21227</v>
      </c>
      <c r="K134" s="4">
        <f>[2]Expense!K72</f>
        <v>16728.349999999999</v>
      </c>
      <c r="L134" s="4">
        <v>28539.279999999999</v>
      </c>
      <c r="M134" s="4">
        <v>25424.080000000002</v>
      </c>
      <c r="N134" s="23">
        <f>(H134-J134)/J134</f>
        <v>-0.60540820652942007</v>
      </c>
      <c r="O134" s="24">
        <f>H134-J134</f>
        <v>-12851</v>
      </c>
    </row>
    <row r="135" spans="1:15" x14ac:dyDescent="0.25">
      <c r="C135" s="2" t="s">
        <v>112</v>
      </c>
      <c r="D135" s="2">
        <v>1</v>
      </c>
      <c r="E135" s="2">
        <v>1980</v>
      </c>
      <c r="F135" s="2">
        <v>1980</v>
      </c>
      <c r="G135" s="3"/>
      <c r="I135" s="4"/>
      <c r="N135" s="23"/>
      <c r="O135" s="24">
        <f>H135-J135</f>
        <v>0</v>
      </c>
    </row>
    <row r="136" spans="1:15" x14ac:dyDescent="0.25">
      <c r="C136" s="2" t="s">
        <v>113</v>
      </c>
      <c r="D136" s="2">
        <v>1</v>
      </c>
      <c r="E136" s="2">
        <v>1200</v>
      </c>
      <c r="F136" s="2">
        <v>1200</v>
      </c>
      <c r="G136" s="3"/>
      <c r="I136" s="4"/>
      <c r="N136" s="23"/>
      <c r="O136" s="24">
        <f>H136-J136</f>
        <v>0</v>
      </c>
    </row>
    <row r="137" spans="1:15" x14ac:dyDescent="0.25">
      <c r="C137" s="2" t="s">
        <v>114</v>
      </c>
      <c r="D137" s="2">
        <v>1</v>
      </c>
      <c r="E137" s="2">
        <v>108</v>
      </c>
      <c r="F137" s="2">
        <v>108</v>
      </c>
      <c r="G137" s="3"/>
      <c r="I137" s="4"/>
      <c r="N137" s="23"/>
      <c r="O137" s="24">
        <f>H137-J137</f>
        <v>0</v>
      </c>
    </row>
    <row r="138" spans="1:15" x14ac:dyDescent="0.25">
      <c r="C138" s="2" t="s">
        <v>115</v>
      </c>
      <c r="D138" s="2">
        <v>1</v>
      </c>
      <c r="E138" s="2">
        <v>2088</v>
      </c>
      <c r="F138" s="2">
        <v>2088</v>
      </c>
      <c r="G138" s="3"/>
      <c r="I138" s="4"/>
      <c r="N138" s="23"/>
      <c r="O138" s="24">
        <f>H138-J138</f>
        <v>0</v>
      </c>
    </row>
    <row r="139" spans="1:15" x14ac:dyDescent="0.25">
      <c r="C139" s="2" t="s">
        <v>116</v>
      </c>
      <c r="G139" s="3"/>
      <c r="I139" s="4"/>
      <c r="N139" s="23"/>
      <c r="O139" s="24">
        <f>H139-J139</f>
        <v>0</v>
      </c>
    </row>
    <row r="140" spans="1:15" x14ac:dyDescent="0.25">
      <c r="C140" s="2" t="s">
        <v>117</v>
      </c>
      <c r="D140" s="2">
        <v>1</v>
      </c>
      <c r="E140" s="2">
        <v>3000</v>
      </c>
      <c r="F140" s="2">
        <v>3000</v>
      </c>
      <c r="G140" s="3"/>
      <c r="I140" s="4"/>
      <c r="N140" s="23"/>
      <c r="O140" s="24">
        <f>H140-J140</f>
        <v>0</v>
      </c>
    </row>
    <row r="141" spans="1:15" x14ac:dyDescent="0.25">
      <c r="A141" s="2">
        <v>14135</v>
      </c>
      <c r="B141" s="2">
        <v>54352</v>
      </c>
      <c r="C141" s="2" t="s">
        <v>118</v>
      </c>
      <c r="G141" s="3"/>
      <c r="H141" s="4">
        <v>800</v>
      </c>
      <c r="I141" s="4">
        <f>[1]Expense!N86</f>
        <v>700</v>
      </c>
      <c r="J141" s="4">
        <f>[1]Expense!I86</f>
        <v>400</v>
      </c>
      <c r="K141" s="4">
        <f>[2]Expense!K73</f>
        <v>337.97</v>
      </c>
      <c r="L141" s="4">
        <v>0</v>
      </c>
      <c r="M141" s="4">
        <v>214.76</v>
      </c>
      <c r="N141" s="23">
        <f>(H141-J141)/J141</f>
        <v>1</v>
      </c>
      <c r="O141" s="24">
        <f>H141-J141</f>
        <v>400</v>
      </c>
    </row>
    <row r="142" spans="1:15" x14ac:dyDescent="0.25">
      <c r="A142" s="2">
        <v>14135</v>
      </c>
      <c r="B142" s="2">
        <v>56680</v>
      </c>
      <c r="C142" s="2" t="s">
        <v>59</v>
      </c>
      <c r="G142" s="3"/>
      <c r="H142" s="4">
        <v>20000</v>
      </c>
      <c r="I142" s="4">
        <f>[1]Expense!N87</f>
        <v>19000</v>
      </c>
      <c r="J142" s="4">
        <f>[1]Expense!I87</f>
        <v>20000</v>
      </c>
      <c r="K142" s="4">
        <f>[2]Expense!K74</f>
        <v>13469.32</v>
      </c>
      <c r="L142" s="4">
        <v>12497.58</v>
      </c>
      <c r="M142" s="4">
        <v>11142.05</v>
      </c>
      <c r="N142" s="23">
        <f>(H142-J142)/J142</f>
        <v>0</v>
      </c>
      <c r="O142" s="24">
        <f>H142-J142</f>
        <v>0</v>
      </c>
    </row>
    <row r="143" spans="1:15" s="5" customFormat="1" x14ac:dyDescent="0.25">
      <c r="A143" s="5" t="s">
        <v>23</v>
      </c>
      <c r="B143" s="5" t="s">
        <v>119</v>
      </c>
      <c r="G143" s="21">
        <f t="shared" ref="G143:M143" si="3">SUM(G104:G142)</f>
        <v>0</v>
      </c>
      <c r="H143" s="21">
        <f t="shared" si="3"/>
        <v>291452</v>
      </c>
      <c r="I143" s="22">
        <f t="shared" si="3"/>
        <v>256113.34</v>
      </c>
      <c r="J143" s="22">
        <f t="shared" si="3"/>
        <v>270980</v>
      </c>
      <c r="K143" s="22">
        <f t="shared" si="3"/>
        <v>172585.04</v>
      </c>
      <c r="L143" s="22">
        <f t="shared" si="3"/>
        <v>170246.67999999996</v>
      </c>
      <c r="M143" s="22">
        <f t="shared" si="3"/>
        <v>170040.88</v>
      </c>
      <c r="N143" s="25">
        <f>(H143-J143)/J143</f>
        <v>7.5548010923315367E-2</v>
      </c>
      <c r="O143" s="26">
        <f>H143-J143</f>
        <v>20472</v>
      </c>
    </row>
    <row r="144" spans="1:15" x14ac:dyDescent="0.25">
      <c r="K144" s="22"/>
      <c r="N144" s="23"/>
      <c r="O144" s="24">
        <f>H144-J144</f>
        <v>0</v>
      </c>
    </row>
    <row r="145" spans="1:15" s="5" customFormat="1" x14ac:dyDescent="0.25">
      <c r="A145" s="5">
        <v>14150</v>
      </c>
      <c r="B145" s="5" t="s">
        <v>120</v>
      </c>
      <c r="H145" s="21"/>
      <c r="I145" s="2"/>
      <c r="J145" s="22"/>
      <c r="K145" s="4"/>
      <c r="L145" s="22"/>
      <c r="M145" s="22"/>
      <c r="N145" s="23"/>
      <c r="O145" s="24">
        <f>H145-J145</f>
        <v>0</v>
      </c>
    </row>
    <row r="146" spans="1:15" x14ac:dyDescent="0.25">
      <c r="A146" s="2">
        <v>14150</v>
      </c>
      <c r="B146" s="2">
        <v>51100</v>
      </c>
      <c r="C146" s="2" t="s">
        <v>26</v>
      </c>
      <c r="G146" s="3"/>
      <c r="H146" s="4">
        <v>234100</v>
      </c>
      <c r="I146" s="2">
        <f>[1]Expense!N91</f>
        <v>222995</v>
      </c>
      <c r="J146" s="4">
        <f>[1]Expense!I91</f>
        <v>222300</v>
      </c>
      <c r="K146" s="4">
        <f>[2]Expense!K78</f>
        <v>191385.47</v>
      </c>
      <c r="L146" s="4">
        <v>186041.19</v>
      </c>
      <c r="M146" s="4">
        <v>182493.37</v>
      </c>
      <c r="N146" s="23">
        <f>(H146-J146)/J146</f>
        <v>5.3081421502474135E-2</v>
      </c>
      <c r="O146" s="24">
        <f>H146-J146</f>
        <v>11800</v>
      </c>
    </row>
    <row r="147" spans="1:15" x14ac:dyDescent="0.25">
      <c r="A147" s="2">
        <v>14150</v>
      </c>
      <c r="B147" s="2">
        <v>51200</v>
      </c>
      <c r="C147" s="2" t="s">
        <v>27</v>
      </c>
      <c r="G147" s="3"/>
      <c r="H147" s="4">
        <v>100</v>
      </c>
      <c r="I147" s="2">
        <f>[1]Expense!N92</f>
        <v>0</v>
      </c>
      <c r="J147" s="4">
        <f>[1]Expense!I92</f>
        <v>140</v>
      </c>
      <c r="K147" s="4">
        <f>[2]Expense!K79</f>
        <v>0</v>
      </c>
      <c r="L147" s="4">
        <v>15</v>
      </c>
      <c r="M147" s="4">
        <v>0</v>
      </c>
      <c r="N147" s="23">
        <f>(H147-J147)/J147</f>
        <v>-0.2857142857142857</v>
      </c>
      <c r="O147" s="24">
        <f>H147-J147</f>
        <v>-40</v>
      </c>
    </row>
    <row r="148" spans="1:15" x14ac:dyDescent="0.25">
      <c r="A148" s="2">
        <v>14150</v>
      </c>
      <c r="B148" s="2">
        <v>51300</v>
      </c>
      <c r="C148" s="2" t="s">
        <v>28</v>
      </c>
      <c r="G148" s="3"/>
      <c r="H148" s="4">
        <v>3961</v>
      </c>
      <c r="I148" s="2">
        <f>[1]Expense!N93</f>
        <v>3961</v>
      </c>
      <c r="J148" s="4">
        <f>[1]Expense!I93</f>
        <v>3961</v>
      </c>
      <c r="K148" s="4">
        <f>[2]Expense!K80</f>
        <v>3960.96</v>
      </c>
      <c r="L148" s="4">
        <v>3961</v>
      </c>
      <c r="M148" s="4">
        <v>3961</v>
      </c>
      <c r="N148" s="23">
        <f>(H148-J148)/J148</f>
        <v>0</v>
      </c>
      <c r="O148" s="24">
        <f>H148-J148</f>
        <v>0</v>
      </c>
    </row>
    <row r="149" spans="1:15" x14ac:dyDescent="0.25">
      <c r="A149" s="2">
        <v>14150</v>
      </c>
      <c r="B149" s="2">
        <v>51400</v>
      </c>
      <c r="C149" s="2" t="s">
        <v>29</v>
      </c>
      <c r="G149" s="3"/>
      <c r="H149" s="4">
        <v>250</v>
      </c>
      <c r="I149" s="2">
        <f>[1]Expense!N94</f>
        <v>267</v>
      </c>
      <c r="J149" s="4">
        <f>[1]Expense!I94</f>
        <v>0</v>
      </c>
      <c r="K149" s="4">
        <f>[2]Expense!K81</f>
        <v>49.31</v>
      </c>
      <c r="L149" s="4">
        <v>0</v>
      </c>
      <c r="M149" s="4">
        <v>49.24</v>
      </c>
      <c r="N149" s="23"/>
      <c r="O149" s="24">
        <f>H149-J149</f>
        <v>250</v>
      </c>
    </row>
    <row r="150" spans="1:15" x14ac:dyDescent="0.25">
      <c r="A150" s="2">
        <v>14150</v>
      </c>
      <c r="B150" s="2">
        <v>51500</v>
      </c>
      <c r="C150" s="2" t="s">
        <v>121</v>
      </c>
      <c r="G150" s="3"/>
      <c r="H150" s="3">
        <v>0</v>
      </c>
      <c r="I150" s="2">
        <f>[1]Expense!N95</f>
        <v>2120</v>
      </c>
      <c r="J150" s="4">
        <f>[1]Expense!I95</f>
        <v>0</v>
      </c>
      <c r="L150" s="4">
        <v>1499.94</v>
      </c>
      <c r="M150" s="4">
        <v>0</v>
      </c>
      <c r="N150" s="23"/>
      <c r="O150" s="24">
        <f>H150-J150</f>
        <v>0</v>
      </c>
    </row>
    <row r="151" spans="1:15" x14ac:dyDescent="0.25">
      <c r="A151" s="2">
        <v>14150</v>
      </c>
      <c r="B151" s="2">
        <v>51510</v>
      </c>
      <c r="C151" s="2" t="s">
        <v>31</v>
      </c>
      <c r="G151" s="3"/>
      <c r="H151" s="4"/>
      <c r="K151" s="4">
        <f>[2]Expense!K82</f>
        <v>0</v>
      </c>
      <c r="L151" s="4">
        <v>2126.1</v>
      </c>
      <c r="M151" s="4">
        <v>2069.11</v>
      </c>
      <c r="N151" s="23"/>
      <c r="O151" s="24">
        <f>H151-J151</f>
        <v>0</v>
      </c>
    </row>
    <row r="152" spans="1:15" x14ac:dyDescent="0.25">
      <c r="A152" s="2">
        <v>14150</v>
      </c>
      <c r="B152" s="2">
        <v>51520</v>
      </c>
      <c r="C152" s="2" t="s">
        <v>122</v>
      </c>
      <c r="G152" s="3"/>
      <c r="H152" s="4">
        <v>300</v>
      </c>
      <c r="I152" s="2">
        <f>[1]Expense!N96</f>
        <v>300</v>
      </c>
      <c r="J152" s="4">
        <v>300</v>
      </c>
      <c r="K152" s="4">
        <f>[2]Expense!K83</f>
        <v>280</v>
      </c>
      <c r="L152" s="4">
        <v>280</v>
      </c>
      <c r="M152" s="4">
        <v>280</v>
      </c>
      <c r="N152" s="23">
        <f>(H152-J152)/J152</f>
        <v>0</v>
      </c>
      <c r="O152" s="24">
        <f>H152-J152</f>
        <v>0</v>
      </c>
    </row>
    <row r="153" spans="1:15" x14ac:dyDescent="0.25">
      <c r="A153" s="2">
        <v>14150</v>
      </c>
      <c r="B153" s="2">
        <v>52100</v>
      </c>
      <c r="C153" s="2" t="s">
        <v>33</v>
      </c>
      <c r="H153" s="4">
        <v>57200</v>
      </c>
      <c r="I153" s="2">
        <f>[1]Expense!N97</f>
        <v>46100</v>
      </c>
      <c r="J153" s="4">
        <f>[1]Expense!I97</f>
        <v>46741</v>
      </c>
      <c r="K153" s="4">
        <f>[2]Expense!K84</f>
        <v>46280.35</v>
      </c>
      <c r="L153" s="4">
        <v>48197.38</v>
      </c>
      <c r="M153" s="4">
        <v>51654.06</v>
      </c>
      <c r="N153" s="23">
        <f>(H153-J153)/J153</f>
        <v>0.22376500288825657</v>
      </c>
      <c r="O153" s="24">
        <f>H153-J153</f>
        <v>10459</v>
      </c>
    </row>
    <row r="154" spans="1:15" x14ac:dyDescent="0.25">
      <c r="A154" s="2">
        <v>14150</v>
      </c>
      <c r="B154" s="2">
        <v>52140</v>
      </c>
      <c r="C154" s="2" t="s">
        <v>34</v>
      </c>
      <c r="H154" s="3">
        <v>1169</v>
      </c>
      <c r="I154" s="2">
        <f>[1]Expense!N98</f>
        <v>620</v>
      </c>
      <c r="J154" s="4">
        <f>[1]Expense!I98</f>
        <v>949</v>
      </c>
      <c r="N154" s="23">
        <f>(H154-J154)/J154</f>
        <v>0.23182297154899895</v>
      </c>
      <c r="O154" s="24">
        <f>H154-J154</f>
        <v>220</v>
      </c>
    </row>
    <row r="155" spans="1:15" x14ac:dyDescent="0.25">
      <c r="A155" s="2">
        <v>14150</v>
      </c>
      <c r="B155" s="2">
        <v>52200</v>
      </c>
      <c r="C155" s="2" t="s">
        <v>35</v>
      </c>
      <c r="G155" s="3"/>
      <c r="H155" s="4">
        <v>18401</v>
      </c>
      <c r="I155" s="2">
        <f>[1]Expense!N99</f>
        <v>17500</v>
      </c>
      <c r="J155" s="4">
        <f>[1]Expense!I99</f>
        <v>16950</v>
      </c>
      <c r="K155" s="4">
        <f>[2]Expense!K85</f>
        <v>14534.75</v>
      </c>
      <c r="L155" s="4">
        <v>15121.62</v>
      </c>
      <c r="M155" s="4">
        <v>13258.19</v>
      </c>
      <c r="N155" s="23">
        <f>(H155-J155)/J155</f>
        <v>8.5604719764011794E-2</v>
      </c>
      <c r="O155" s="24">
        <f>H155-J155</f>
        <v>1451</v>
      </c>
    </row>
    <row r="156" spans="1:15" x14ac:dyDescent="0.25">
      <c r="A156" s="2">
        <v>14150</v>
      </c>
      <c r="B156" s="2">
        <v>52230</v>
      </c>
      <c r="C156" s="2" t="s">
        <v>36</v>
      </c>
      <c r="G156" s="3"/>
      <c r="H156" s="4">
        <v>32000</v>
      </c>
      <c r="I156" s="2">
        <f>[1]Expense!N100</f>
        <v>31200</v>
      </c>
      <c r="J156" s="4">
        <f>[1]Expense!I100</f>
        <v>29950</v>
      </c>
      <c r="K156" s="4">
        <f>[2]Expense!K86</f>
        <v>26567.68</v>
      </c>
      <c r="L156" s="4">
        <v>23160.639999999999</v>
      </c>
      <c r="M156" s="4">
        <v>20652.669999999998</v>
      </c>
      <c r="N156" s="23">
        <f>(H156-J156)/J156</f>
        <v>6.8447412353923209E-2</v>
      </c>
      <c r="O156" s="24">
        <f>H156-J156</f>
        <v>2050</v>
      </c>
    </row>
    <row r="157" spans="1:15" x14ac:dyDescent="0.25">
      <c r="A157" s="2">
        <v>14150</v>
      </c>
      <c r="B157" s="2">
        <v>52250</v>
      </c>
      <c r="C157" s="2" t="s">
        <v>37</v>
      </c>
      <c r="G157" s="3"/>
      <c r="H157" s="3">
        <v>197</v>
      </c>
      <c r="I157" s="2">
        <f>[1]Expense!N101</f>
        <v>81</v>
      </c>
      <c r="J157" s="4">
        <f>[1]Expense!I101</f>
        <v>81</v>
      </c>
      <c r="K157" s="4">
        <f>[2]Expense!K87</f>
        <v>89.43</v>
      </c>
      <c r="L157" s="4">
        <v>97.97</v>
      </c>
      <c r="M157" s="4">
        <v>97.97</v>
      </c>
      <c r="N157" s="23">
        <f>(H157-J157)/J157</f>
        <v>1.4320987654320987</v>
      </c>
      <c r="O157" s="24">
        <f>H157-J157</f>
        <v>116</v>
      </c>
    </row>
    <row r="158" spans="1:15" x14ac:dyDescent="0.25">
      <c r="A158" s="2">
        <v>14150</v>
      </c>
      <c r="B158" s="2">
        <v>52260</v>
      </c>
      <c r="C158" s="2" t="s">
        <v>38</v>
      </c>
      <c r="G158" s="3"/>
      <c r="H158" s="3">
        <v>402</v>
      </c>
      <c r="I158" s="2">
        <f>[1]Expense!N102</f>
        <v>444</v>
      </c>
      <c r="J158" s="4">
        <f>[1]Expense!I102</f>
        <v>444</v>
      </c>
      <c r="K158" s="4">
        <f>[2]Expense!K88</f>
        <v>459</v>
      </c>
      <c r="L158" s="4">
        <v>406</v>
      </c>
      <c r="M158" s="4">
        <v>473</v>
      </c>
      <c r="N158" s="23">
        <f>(H158-J158)/J158</f>
        <v>-9.45945945945946E-2</v>
      </c>
      <c r="O158" s="24">
        <f>H158-J158</f>
        <v>-42</v>
      </c>
    </row>
    <row r="159" spans="1:15" x14ac:dyDescent="0.25">
      <c r="A159" s="2">
        <v>14150</v>
      </c>
      <c r="B159" s="2">
        <v>53400</v>
      </c>
      <c r="C159" s="2" t="s">
        <v>123</v>
      </c>
      <c r="G159" s="3"/>
      <c r="H159" s="4">
        <v>100</v>
      </c>
      <c r="I159" s="2">
        <f>[1]Expense!N103</f>
        <v>150</v>
      </c>
      <c r="J159" s="4">
        <f>[1]Expense!I103</f>
        <v>100</v>
      </c>
      <c r="K159" s="4">
        <f>[2]Expense!K89</f>
        <v>456.01</v>
      </c>
      <c r="L159" s="4">
        <v>299.56</v>
      </c>
      <c r="M159" s="4">
        <v>40</v>
      </c>
      <c r="N159" s="23">
        <f>(H159-J159)/J159</f>
        <v>0</v>
      </c>
      <c r="O159" s="24">
        <f>H159-J159</f>
        <v>0</v>
      </c>
    </row>
    <row r="160" spans="1:15" x14ac:dyDescent="0.25">
      <c r="C160" s="2" t="s">
        <v>124</v>
      </c>
      <c r="D160" s="2">
        <v>4</v>
      </c>
      <c r="E160" s="2">
        <v>25</v>
      </c>
      <c r="F160" s="2">
        <v>100</v>
      </c>
      <c r="G160" s="3"/>
      <c r="H160" s="4"/>
      <c r="N160" s="23"/>
      <c r="O160" s="24">
        <f>H160-J160</f>
        <v>0</v>
      </c>
    </row>
    <row r="161" spans="1:15" x14ac:dyDescent="0.25">
      <c r="A161" s="2">
        <v>14150</v>
      </c>
      <c r="B161" s="2">
        <v>56110</v>
      </c>
      <c r="C161" s="2" t="s">
        <v>55</v>
      </c>
      <c r="G161" s="3"/>
      <c r="H161" s="4">
        <v>1500</v>
      </c>
      <c r="I161" s="2">
        <f>[1]Expense!N104</f>
        <v>85</v>
      </c>
      <c r="J161" s="4">
        <f>[1]Expense!I104</f>
        <v>1500</v>
      </c>
      <c r="K161" s="4">
        <f>[2]Expense!K90</f>
        <v>249</v>
      </c>
      <c r="L161" s="4">
        <v>50</v>
      </c>
      <c r="M161" s="4">
        <v>257.72000000000003</v>
      </c>
      <c r="N161" s="23">
        <f>(H161-J161)/J161</f>
        <v>0</v>
      </c>
      <c r="O161" s="24">
        <f>H161-J161</f>
        <v>0</v>
      </c>
    </row>
    <row r="162" spans="1:15" x14ac:dyDescent="0.25">
      <c r="C162" s="2" t="s">
        <v>125</v>
      </c>
      <c r="D162" s="2">
        <v>1</v>
      </c>
      <c r="E162" s="2">
        <v>1500</v>
      </c>
      <c r="F162" s="2">
        <v>1500</v>
      </c>
      <c r="G162" s="3"/>
      <c r="H162" s="4"/>
      <c r="N162" s="23"/>
      <c r="O162" s="24">
        <f>H162-J162</f>
        <v>0</v>
      </c>
    </row>
    <row r="163" spans="1:15" x14ac:dyDescent="0.25">
      <c r="C163" s="2" t="s">
        <v>126</v>
      </c>
      <c r="G163" s="3"/>
      <c r="H163" s="4"/>
      <c r="N163" s="23"/>
      <c r="O163" s="24">
        <f>H163-J163</f>
        <v>0</v>
      </c>
    </row>
    <row r="164" spans="1:15" x14ac:dyDescent="0.25">
      <c r="A164" s="2">
        <v>14150</v>
      </c>
      <c r="B164" s="2">
        <v>56130</v>
      </c>
      <c r="C164" s="2" t="s">
        <v>22</v>
      </c>
      <c r="G164" s="3"/>
      <c r="H164" s="4">
        <v>3300</v>
      </c>
      <c r="I164" s="2">
        <f>[1]Expense!N105</f>
        <v>1160</v>
      </c>
      <c r="J164" s="27">
        <f>[1]Expense!I105</f>
        <v>3300</v>
      </c>
      <c r="K164" s="4">
        <f>[2]Expense!K91</f>
        <v>1177.7</v>
      </c>
      <c r="L164" s="4">
        <v>5.37</v>
      </c>
      <c r="M164" s="4">
        <v>168.82</v>
      </c>
      <c r="N164" s="23">
        <f>(H164-J164)/J164</f>
        <v>0</v>
      </c>
      <c r="O164" s="24">
        <f>H164-J164</f>
        <v>0</v>
      </c>
    </row>
    <row r="165" spans="1:15" x14ac:dyDescent="0.25">
      <c r="C165" s="2" t="s">
        <v>127</v>
      </c>
      <c r="E165" s="2" t="s">
        <v>128</v>
      </c>
      <c r="G165" s="3"/>
      <c r="H165" s="4"/>
      <c r="J165" s="27"/>
      <c r="N165" s="23"/>
      <c r="O165" s="24">
        <f>H165-J165</f>
        <v>0</v>
      </c>
    </row>
    <row r="166" spans="1:15" x14ac:dyDescent="0.25">
      <c r="C166" s="2" t="s">
        <v>129</v>
      </c>
      <c r="E166" s="2" t="s">
        <v>128</v>
      </c>
      <c r="G166" s="3"/>
      <c r="H166" s="4"/>
      <c r="J166" s="27"/>
      <c r="N166" s="23"/>
      <c r="O166" s="24">
        <f>H166-J166</f>
        <v>0</v>
      </c>
    </row>
    <row r="167" spans="1:15" x14ac:dyDescent="0.25">
      <c r="C167" s="2" t="s">
        <v>130</v>
      </c>
      <c r="G167" s="3"/>
      <c r="H167" s="4"/>
      <c r="J167" s="27"/>
      <c r="N167" s="23"/>
      <c r="O167" s="24">
        <f>H167-J167</f>
        <v>0</v>
      </c>
    </row>
    <row r="168" spans="1:15" x14ac:dyDescent="0.25">
      <c r="A168" s="2">
        <v>14150</v>
      </c>
      <c r="B168" s="2">
        <v>56200</v>
      </c>
      <c r="C168" s="2" t="s">
        <v>56</v>
      </c>
      <c r="G168" s="3"/>
      <c r="H168" s="4">
        <v>1800</v>
      </c>
      <c r="I168" s="2">
        <f>[1]Expense!N106</f>
        <v>1600</v>
      </c>
      <c r="J168" s="4">
        <f>[1]Expense!I106</f>
        <v>1800</v>
      </c>
      <c r="K168" s="4">
        <f>[2]Expense!K92</f>
        <v>3652.35</v>
      </c>
      <c r="L168" s="4">
        <v>2404.56</v>
      </c>
      <c r="M168" s="4">
        <v>1599.81</v>
      </c>
      <c r="N168" s="23">
        <f>(H168-J168)/J168</f>
        <v>0</v>
      </c>
      <c r="O168" s="24">
        <f>H168-J168</f>
        <v>0</v>
      </c>
    </row>
    <row r="169" spans="1:15" x14ac:dyDescent="0.25">
      <c r="C169" s="2" t="s">
        <v>131</v>
      </c>
      <c r="G169" s="3"/>
      <c r="H169" s="4"/>
      <c r="N169" s="23"/>
      <c r="O169" s="24">
        <f>H169-J169</f>
        <v>0</v>
      </c>
    </row>
    <row r="170" spans="1:15" x14ac:dyDescent="0.25">
      <c r="C170" s="2" t="s">
        <v>132</v>
      </c>
      <c r="G170" s="3"/>
      <c r="H170" s="4"/>
      <c r="N170" s="23"/>
      <c r="O170" s="24">
        <f>H170-J170</f>
        <v>0</v>
      </c>
    </row>
    <row r="171" spans="1:15" x14ac:dyDescent="0.25">
      <c r="A171" s="2">
        <v>14150</v>
      </c>
      <c r="B171" s="2">
        <v>56250</v>
      </c>
      <c r="C171" s="2" t="s">
        <v>57</v>
      </c>
      <c r="G171" s="3"/>
      <c r="H171" s="4">
        <v>1200</v>
      </c>
      <c r="I171" s="2">
        <f>[1]Expense!N107</f>
        <v>1100</v>
      </c>
      <c r="J171" s="4">
        <f>[1]Expense!I107</f>
        <v>1200</v>
      </c>
      <c r="K171" s="4">
        <f>[2]Expense!K93</f>
        <v>1033.82</v>
      </c>
      <c r="L171" s="4">
        <v>989.7</v>
      </c>
      <c r="M171" s="4">
        <v>912.47</v>
      </c>
      <c r="N171" s="23">
        <f>(H171-J171)/J171</f>
        <v>0</v>
      </c>
      <c r="O171" s="24">
        <f>H171-J171</f>
        <v>0</v>
      </c>
    </row>
    <row r="172" spans="1:15" x14ac:dyDescent="0.25">
      <c r="C172" s="2" t="s">
        <v>133</v>
      </c>
      <c r="D172" s="2">
        <v>1</v>
      </c>
      <c r="E172" s="2">
        <v>150</v>
      </c>
      <c r="F172" s="2">
        <v>150</v>
      </c>
      <c r="G172" s="3"/>
      <c r="H172" s="4"/>
      <c r="N172" s="23"/>
      <c r="O172" s="24">
        <f>H172-J172</f>
        <v>0</v>
      </c>
    </row>
    <row r="173" spans="1:15" x14ac:dyDescent="0.25">
      <c r="C173" s="2" t="s">
        <v>134</v>
      </c>
      <c r="D173" s="2">
        <v>1</v>
      </c>
      <c r="E173" s="2">
        <v>100</v>
      </c>
      <c r="F173" s="2">
        <v>100</v>
      </c>
      <c r="G173" s="3"/>
      <c r="H173" s="4"/>
      <c r="N173" s="23"/>
      <c r="O173" s="24">
        <f>H173-J173</f>
        <v>0</v>
      </c>
    </row>
    <row r="174" spans="1:15" x14ac:dyDescent="0.25">
      <c r="C174" s="2" t="s">
        <v>135</v>
      </c>
      <c r="D174" s="2">
        <v>1</v>
      </c>
      <c r="E174" s="2">
        <v>950</v>
      </c>
      <c r="F174" s="2">
        <v>950</v>
      </c>
      <c r="G174" s="3"/>
      <c r="H174" s="4"/>
      <c r="N174" s="23"/>
      <c r="O174" s="24">
        <f>H174-J174</f>
        <v>0</v>
      </c>
    </row>
    <row r="175" spans="1:15" s="5" customFormat="1" x14ac:dyDescent="0.25">
      <c r="A175" s="5" t="s">
        <v>23</v>
      </c>
      <c r="B175" s="5" t="s">
        <v>136</v>
      </c>
      <c r="G175" s="21">
        <f t="shared" ref="G175:M175" si="4">SUM(G146:G171)</f>
        <v>0</v>
      </c>
      <c r="H175" s="21">
        <f>SUM(H146:H171)</f>
        <v>355980</v>
      </c>
      <c r="I175" s="22">
        <f t="shared" si="4"/>
        <v>329683</v>
      </c>
      <c r="J175" s="22">
        <f t="shared" si="4"/>
        <v>329716</v>
      </c>
      <c r="K175" s="22">
        <f t="shared" si="4"/>
        <v>290175.83</v>
      </c>
      <c r="L175" s="22">
        <f t="shared" si="4"/>
        <v>284656.02999999997</v>
      </c>
      <c r="M175" s="22">
        <f t="shared" si="4"/>
        <v>277967.42999999988</v>
      </c>
      <c r="N175" s="25">
        <f>(H175-J175)/J175</f>
        <v>7.9656431595676286E-2</v>
      </c>
      <c r="O175" s="26">
        <f>H175-J175</f>
        <v>26264</v>
      </c>
    </row>
    <row r="176" spans="1:15" x14ac:dyDescent="0.25">
      <c r="K176" s="22"/>
      <c r="N176" s="23"/>
      <c r="O176" s="24">
        <f>H176-J176</f>
        <v>0</v>
      </c>
    </row>
    <row r="177" spans="1:15" s="5" customFormat="1" x14ac:dyDescent="0.25">
      <c r="A177" s="5">
        <v>14193</v>
      </c>
      <c r="B177" s="5" t="s">
        <v>137</v>
      </c>
      <c r="H177" s="21"/>
      <c r="I177" s="2"/>
      <c r="J177" s="4"/>
      <c r="K177" s="4">
        <f>[2]Expense!K96</f>
        <v>0</v>
      </c>
      <c r="L177" s="22"/>
      <c r="M177" s="22"/>
      <c r="N177" s="23"/>
      <c r="O177" s="24">
        <f>H177-J177</f>
        <v>0</v>
      </c>
    </row>
    <row r="178" spans="1:15" x14ac:dyDescent="0.25">
      <c r="A178" s="2">
        <v>14193</v>
      </c>
      <c r="B178" s="2">
        <v>51100</v>
      </c>
      <c r="C178" s="2" t="s">
        <v>26</v>
      </c>
      <c r="G178" s="3"/>
      <c r="H178" s="4">
        <v>113500</v>
      </c>
      <c r="I178" s="4">
        <f>[1]Expense!N111</f>
        <v>116400</v>
      </c>
      <c r="J178" s="4">
        <f>[1]Expense!I111</f>
        <v>116400</v>
      </c>
      <c r="K178" s="4">
        <f>[2]Expense!K97</f>
        <v>91519.87</v>
      </c>
      <c r="L178" s="4">
        <v>76148.100000000006</v>
      </c>
      <c r="M178" s="4">
        <v>93247.92</v>
      </c>
      <c r="N178" s="23">
        <f>(H178-J178)/J178</f>
        <v>-2.4914089347079039E-2</v>
      </c>
      <c r="O178" s="24">
        <f>H178-J178</f>
        <v>-2900</v>
      </c>
    </row>
    <row r="179" spans="1:15" x14ac:dyDescent="0.25">
      <c r="A179" s="2">
        <v>14193</v>
      </c>
      <c r="B179" s="2">
        <v>51200</v>
      </c>
      <c r="C179" s="2" t="s">
        <v>27</v>
      </c>
      <c r="G179" s="3"/>
      <c r="H179" s="4">
        <v>10855</v>
      </c>
      <c r="I179" s="4">
        <f>[1]Expense!N112</f>
        <v>10655</v>
      </c>
      <c r="J179" s="4">
        <f>[1]Expense!I112</f>
        <v>10655</v>
      </c>
      <c r="K179" s="4">
        <f>[2]Expense!K98</f>
        <v>8282.18</v>
      </c>
      <c r="L179" s="4">
        <v>8941.11</v>
      </c>
      <c r="M179" s="4">
        <v>5302.01</v>
      </c>
      <c r="N179" s="23">
        <f>(H179-J179)/J179</f>
        <v>1.8770530267480056E-2</v>
      </c>
      <c r="O179" s="24">
        <f>H179-J179</f>
        <v>200</v>
      </c>
    </row>
    <row r="180" spans="1:15" x14ac:dyDescent="0.25">
      <c r="A180" s="2">
        <v>14193</v>
      </c>
      <c r="B180" s="2">
        <v>51300</v>
      </c>
      <c r="C180" s="2" t="s">
        <v>28</v>
      </c>
      <c r="G180" s="3"/>
      <c r="H180" s="4">
        <v>75260</v>
      </c>
      <c r="I180" s="4">
        <f>[1]Expense!N113</f>
        <v>75257</v>
      </c>
      <c r="J180" s="4">
        <f>[1]Expense!I113</f>
        <v>75257</v>
      </c>
      <c r="K180" s="4">
        <f>[2]Expense!K99</f>
        <v>68415</v>
      </c>
      <c r="L180" s="4">
        <v>68415</v>
      </c>
      <c r="M180" s="4">
        <v>68415</v>
      </c>
      <c r="N180" s="23">
        <f>(H180-J180)/J180</f>
        <v>3.9863401411164407E-5</v>
      </c>
      <c r="O180" s="24">
        <f>H180-J180</f>
        <v>3</v>
      </c>
    </row>
    <row r="181" spans="1:15" x14ac:dyDescent="0.25">
      <c r="A181" s="2">
        <v>14193</v>
      </c>
      <c r="B181" s="2">
        <v>51500</v>
      </c>
      <c r="C181" s="2" t="s">
        <v>138</v>
      </c>
      <c r="G181" s="3"/>
      <c r="H181" s="4">
        <v>11150</v>
      </c>
      <c r="I181" s="4">
        <f>[1]Expense!N114</f>
        <v>9950</v>
      </c>
      <c r="J181" s="4">
        <f>[1]Expense!I114</f>
        <v>9950</v>
      </c>
      <c r="K181" s="4">
        <f>[2]Expense!K100</f>
        <v>7935.82</v>
      </c>
      <c r="L181" s="4">
        <v>0</v>
      </c>
      <c r="M181" s="4">
        <v>0</v>
      </c>
      <c r="N181" s="23">
        <f>(H181-J181)/J181</f>
        <v>0.12060301507537688</v>
      </c>
      <c r="O181" s="24">
        <f>H181-J181</f>
        <v>1200</v>
      </c>
    </row>
    <row r="182" spans="1:15" x14ac:dyDescent="0.25">
      <c r="A182" s="2">
        <v>14193</v>
      </c>
      <c r="B182" s="2">
        <v>51510</v>
      </c>
      <c r="C182" s="2" t="s">
        <v>31</v>
      </c>
      <c r="G182" s="3"/>
      <c r="H182" s="4">
        <v>0</v>
      </c>
      <c r="I182" s="4"/>
      <c r="L182" s="4">
        <v>473.76</v>
      </c>
      <c r="M182" s="4">
        <v>0</v>
      </c>
      <c r="N182" s="23"/>
      <c r="O182" s="24">
        <f>H182-J182</f>
        <v>0</v>
      </c>
    </row>
    <row r="183" spans="1:15" x14ac:dyDescent="0.25">
      <c r="A183" s="2">
        <v>14193</v>
      </c>
      <c r="B183" s="2">
        <v>51520</v>
      </c>
      <c r="C183" s="2" t="s">
        <v>32</v>
      </c>
      <c r="G183" s="3"/>
      <c r="H183" s="4">
        <v>300</v>
      </c>
      <c r="I183" s="4">
        <f>[1]Expense!N115</f>
        <v>300</v>
      </c>
      <c r="J183" s="4">
        <f>[1]Expense!I115</f>
        <v>300</v>
      </c>
      <c r="K183" s="4">
        <f>[2]Expense!K101</f>
        <v>280</v>
      </c>
      <c r="L183" s="4">
        <v>280</v>
      </c>
      <c r="M183" s="4">
        <v>280</v>
      </c>
      <c r="N183" s="23">
        <f>(H183-J183)/J183</f>
        <v>0</v>
      </c>
      <c r="O183" s="24">
        <f>H183-J183</f>
        <v>0</v>
      </c>
    </row>
    <row r="184" spans="1:15" x14ac:dyDescent="0.25">
      <c r="A184" s="2">
        <v>14193</v>
      </c>
      <c r="B184" s="2">
        <v>52100</v>
      </c>
      <c r="C184" s="2" t="s">
        <v>33</v>
      </c>
      <c r="H184" s="4">
        <v>54800</v>
      </c>
      <c r="I184" s="4">
        <f>[1]Expense!N116</f>
        <v>48751</v>
      </c>
      <c r="J184" s="4">
        <f>[1]Expense!I116</f>
        <v>48751</v>
      </c>
      <c r="K184" s="4">
        <f>[2]Expense!K102</f>
        <v>49088.160000000003</v>
      </c>
      <c r="L184" s="4">
        <v>54523.88</v>
      </c>
      <c r="M184" s="4">
        <v>63637.04</v>
      </c>
      <c r="N184" s="23">
        <f>(H184-J184)/J184</f>
        <v>0.12407950606141413</v>
      </c>
      <c r="O184" s="24">
        <f>H184-J184</f>
        <v>6049</v>
      </c>
    </row>
    <row r="185" spans="1:15" x14ac:dyDescent="0.25">
      <c r="A185" s="2">
        <v>14193</v>
      </c>
      <c r="B185" s="2">
        <v>52140</v>
      </c>
      <c r="C185" s="2" t="s">
        <v>34</v>
      </c>
      <c r="G185" s="28"/>
      <c r="H185" s="3">
        <v>1169</v>
      </c>
      <c r="I185" s="4">
        <f>[1]Expense!N117</f>
        <v>620</v>
      </c>
      <c r="J185" s="4">
        <f>[1]Expense!I117</f>
        <v>948.6</v>
      </c>
      <c r="N185" s="23">
        <f>(H185-J185)/J185</f>
        <v>0.2323423993253215</v>
      </c>
      <c r="O185" s="24">
        <f>H185-J185</f>
        <v>220.39999999999998</v>
      </c>
    </row>
    <row r="186" spans="1:15" x14ac:dyDescent="0.25">
      <c r="A186" s="2">
        <v>14193</v>
      </c>
      <c r="B186" s="2">
        <v>52200</v>
      </c>
      <c r="C186" s="2" t="s">
        <v>35</v>
      </c>
      <c r="G186" s="3"/>
      <c r="H186" s="4">
        <v>16100</v>
      </c>
      <c r="I186" s="4">
        <f>[1]Expense!N118</f>
        <v>16265</v>
      </c>
      <c r="J186" s="4">
        <f>[1]Expense!I118</f>
        <v>15500</v>
      </c>
      <c r="K186" s="4">
        <f>[2]Expense!K103</f>
        <v>12972.36</v>
      </c>
      <c r="L186" s="4">
        <v>11610.89</v>
      </c>
      <c r="M186" s="4">
        <v>12387.15</v>
      </c>
      <c r="N186" s="23">
        <f>(H186-J186)/J186</f>
        <v>3.870967741935484E-2</v>
      </c>
      <c r="O186" s="24">
        <f>H186-J186</f>
        <v>600</v>
      </c>
    </row>
    <row r="187" spans="1:15" x14ac:dyDescent="0.25">
      <c r="A187" s="2">
        <v>14193</v>
      </c>
      <c r="B187" s="2">
        <v>52230</v>
      </c>
      <c r="C187" s="2" t="s">
        <v>36</v>
      </c>
      <c r="G187" s="3"/>
      <c r="H187" s="4">
        <v>27000</v>
      </c>
      <c r="I187" s="4">
        <f>[1]Expense!N119</f>
        <v>26425</v>
      </c>
      <c r="J187" s="4">
        <f>[1]Expense!I119</f>
        <v>26425</v>
      </c>
      <c r="K187" s="4">
        <f>[2]Expense!K104</f>
        <v>22544.69</v>
      </c>
      <c r="L187" s="4">
        <v>18812.060000000001</v>
      </c>
      <c r="M187" s="4">
        <v>18089.349999999999</v>
      </c>
      <c r="N187" s="23">
        <f>(H187-J187)/J187</f>
        <v>2.1759697256385997E-2</v>
      </c>
      <c r="O187" s="24">
        <f>H187-J187</f>
        <v>575</v>
      </c>
    </row>
    <row r="188" spans="1:15" x14ac:dyDescent="0.25">
      <c r="A188" s="2">
        <v>14193</v>
      </c>
      <c r="B188" s="2">
        <v>52250</v>
      </c>
      <c r="C188" s="2" t="s">
        <v>37</v>
      </c>
      <c r="G188" s="3"/>
      <c r="H188" s="3">
        <v>126</v>
      </c>
      <c r="I188" s="4">
        <f>[1]Expense!N120</f>
        <v>27</v>
      </c>
      <c r="J188" s="4">
        <f>[1]Expense!I120</f>
        <v>27</v>
      </c>
      <c r="K188" s="4">
        <f>[2]Expense!K105</f>
        <v>29.81</v>
      </c>
      <c r="L188" s="4">
        <v>167.18</v>
      </c>
      <c r="M188" s="4">
        <v>167.18</v>
      </c>
      <c r="N188" s="23">
        <f>(H188-J188)/J188</f>
        <v>3.6666666666666665</v>
      </c>
      <c r="O188" s="24">
        <f>H188-J188</f>
        <v>99</v>
      </c>
    </row>
    <row r="189" spans="1:15" x14ac:dyDescent="0.25">
      <c r="A189" s="2">
        <v>14193</v>
      </c>
      <c r="B189" s="2">
        <v>52260</v>
      </c>
      <c r="C189" s="2" t="s">
        <v>38</v>
      </c>
      <c r="G189" s="3"/>
      <c r="H189" s="3">
        <v>373</v>
      </c>
      <c r="I189" s="4">
        <f>[1]Expense!N121</f>
        <v>364</v>
      </c>
      <c r="J189" s="4">
        <f>[1]Expense!I121</f>
        <v>364</v>
      </c>
      <c r="K189" s="4">
        <f>[2]Expense!K106</f>
        <v>407</v>
      </c>
      <c r="L189" s="4">
        <v>677</v>
      </c>
      <c r="M189" s="4">
        <v>789</v>
      </c>
      <c r="N189" s="23">
        <f>(H189-J189)/J189</f>
        <v>2.4725274725274724E-2</v>
      </c>
      <c r="O189" s="24">
        <f>H189-J189</f>
        <v>9</v>
      </c>
    </row>
    <row r="190" spans="1:15" x14ac:dyDescent="0.25">
      <c r="A190" s="2">
        <v>14193</v>
      </c>
      <c r="B190" s="2">
        <v>53410</v>
      </c>
      <c r="C190" s="2" t="s">
        <v>40</v>
      </c>
      <c r="G190" s="3"/>
      <c r="H190" s="4">
        <v>1560</v>
      </c>
      <c r="I190" s="4">
        <f>[1]Expense!N122</f>
        <v>1560</v>
      </c>
      <c r="J190" s="4">
        <f>[1]Expense!I122</f>
        <v>1560</v>
      </c>
      <c r="K190" s="4">
        <f>[2]Expense!K107</f>
        <v>1396.36</v>
      </c>
      <c r="L190" s="4">
        <v>1443.47</v>
      </c>
      <c r="M190" s="4">
        <v>1522.32</v>
      </c>
      <c r="N190" s="23">
        <f>(H190-J190)/J190</f>
        <v>0</v>
      </c>
      <c r="O190" s="24">
        <f>H190-J190</f>
        <v>0</v>
      </c>
    </row>
    <row r="191" spans="1:15" x14ac:dyDescent="0.25">
      <c r="C191" s="2" t="s">
        <v>139</v>
      </c>
      <c r="D191" s="2">
        <v>12</v>
      </c>
      <c r="E191" s="2">
        <v>130</v>
      </c>
      <c r="F191" s="2">
        <v>1560</v>
      </c>
      <c r="G191" s="3"/>
      <c r="H191" s="4"/>
      <c r="I191" s="4"/>
      <c r="N191" s="23"/>
      <c r="O191" s="24">
        <f>H191-J191</f>
        <v>0</v>
      </c>
    </row>
    <row r="192" spans="1:15" x14ac:dyDescent="0.25">
      <c r="A192" s="2">
        <v>14193</v>
      </c>
      <c r="B192" s="2">
        <v>53420</v>
      </c>
      <c r="C192" s="2" t="s">
        <v>140</v>
      </c>
      <c r="G192" s="3"/>
      <c r="H192" s="4">
        <v>61490</v>
      </c>
      <c r="I192" s="4">
        <f>[1]Expense!N123</f>
        <v>60000</v>
      </c>
      <c r="J192" s="4">
        <f>[1]Expense!I123</f>
        <v>68000</v>
      </c>
      <c r="K192" s="4">
        <f>[2]Expense!K108</f>
        <v>60435</v>
      </c>
      <c r="L192" s="4">
        <v>71672.800000000003</v>
      </c>
      <c r="M192" s="4">
        <v>66886.5</v>
      </c>
      <c r="N192" s="23">
        <f>(H192-J192)/J192</f>
        <v>-9.5735294117647057E-2</v>
      </c>
      <c r="O192" s="24">
        <f>H192-J192</f>
        <v>-6510</v>
      </c>
    </row>
    <row r="193" spans="1:15" x14ac:dyDescent="0.25">
      <c r="C193" s="2" t="s">
        <v>141</v>
      </c>
      <c r="D193" s="2">
        <v>1</v>
      </c>
      <c r="E193" s="2">
        <v>39290</v>
      </c>
      <c r="F193" s="2">
        <v>39290</v>
      </c>
      <c r="G193" s="3"/>
      <c r="H193" s="4"/>
      <c r="I193" s="4"/>
      <c r="N193" s="23"/>
      <c r="O193" s="24">
        <f>H193-J193</f>
        <v>0</v>
      </c>
    </row>
    <row r="194" spans="1:15" x14ac:dyDescent="0.25">
      <c r="C194" s="2" t="s">
        <v>142</v>
      </c>
      <c r="D194" s="2">
        <v>1</v>
      </c>
      <c r="E194" s="2">
        <v>22200</v>
      </c>
      <c r="F194" s="2">
        <v>22200</v>
      </c>
      <c r="G194" s="3"/>
      <c r="H194" s="4"/>
      <c r="I194" s="4"/>
      <c r="N194" s="23"/>
      <c r="O194" s="24">
        <f>H194-J194</f>
        <v>0</v>
      </c>
    </row>
    <row r="195" spans="1:15" x14ac:dyDescent="0.25">
      <c r="A195" s="2">
        <v>14193</v>
      </c>
      <c r="B195" s="2">
        <v>53421</v>
      </c>
      <c r="C195" s="2" t="s">
        <v>41</v>
      </c>
      <c r="G195" s="3"/>
      <c r="H195" s="4">
        <v>1020</v>
      </c>
      <c r="I195" s="4">
        <f>[1]Expense!N124</f>
        <v>990</v>
      </c>
      <c r="J195" s="4">
        <f>[1]Expense!I124</f>
        <v>990</v>
      </c>
      <c r="K195" s="4">
        <f>[2]Expense!K109</f>
        <v>966.12</v>
      </c>
      <c r="L195" s="4">
        <v>947.31</v>
      </c>
      <c r="M195" s="4">
        <v>910.2</v>
      </c>
      <c r="N195" s="23">
        <f>(H195-J195)/J195</f>
        <v>3.0303030303030304E-2</v>
      </c>
      <c r="O195" s="24">
        <f>H195-J195</f>
        <v>30</v>
      </c>
    </row>
    <row r="196" spans="1:15" x14ac:dyDescent="0.25">
      <c r="C196" s="2" t="s">
        <v>143</v>
      </c>
      <c r="G196" s="3"/>
      <c r="H196" s="4"/>
      <c r="I196" s="4"/>
      <c r="N196" s="23"/>
      <c r="O196" s="24">
        <f>H196-J196</f>
        <v>0</v>
      </c>
    </row>
    <row r="197" spans="1:15" x14ac:dyDescent="0.25">
      <c r="A197" s="2">
        <v>14193</v>
      </c>
      <c r="B197" s="2">
        <v>53422</v>
      </c>
      <c r="C197" s="2" t="s">
        <v>144</v>
      </c>
      <c r="G197" s="3"/>
      <c r="H197" s="4">
        <v>39718</v>
      </c>
      <c r="I197" s="4">
        <f>[1]Expense!N125</f>
        <v>29490</v>
      </c>
      <c r="J197" s="4">
        <f>[1]Expense!I125</f>
        <v>33915</v>
      </c>
      <c r="K197" s="4">
        <f>[2]Expense!K110</f>
        <v>21990</v>
      </c>
      <c r="L197" s="4">
        <v>30115</v>
      </c>
      <c r="M197" s="4">
        <v>32045</v>
      </c>
      <c r="N197" s="23">
        <f>(H197-J197)/J197</f>
        <v>0.17110423116615067</v>
      </c>
      <c r="O197" s="24">
        <f>H197-J197</f>
        <v>5803</v>
      </c>
    </row>
    <row r="198" spans="1:15" x14ac:dyDescent="0.25">
      <c r="C198" s="2" t="s">
        <v>145</v>
      </c>
      <c r="G198" s="3"/>
      <c r="H198" s="4"/>
      <c r="I198" s="4"/>
      <c r="N198" s="23"/>
      <c r="O198" s="24">
        <f>H198-J198</f>
        <v>0</v>
      </c>
    </row>
    <row r="199" spans="1:15" x14ac:dyDescent="0.25">
      <c r="A199" s="2">
        <v>14193</v>
      </c>
      <c r="B199" s="2">
        <v>53423</v>
      </c>
      <c r="C199" s="2" t="s">
        <v>146</v>
      </c>
      <c r="G199" s="3"/>
      <c r="H199" s="4">
        <v>4225</v>
      </c>
      <c r="I199" s="4">
        <f>[1]Expense!N126</f>
        <v>3000</v>
      </c>
      <c r="J199" s="4">
        <f>[1]Expense!I126</f>
        <v>4400</v>
      </c>
      <c r="K199" s="4">
        <f>[2]Expense!K111</f>
        <v>5037.8</v>
      </c>
      <c r="L199" s="4">
        <v>6271.01</v>
      </c>
      <c r="M199" s="4">
        <v>3770.25</v>
      </c>
      <c r="N199" s="23">
        <f>(H199-J199)/J199</f>
        <v>-3.9772727272727272E-2</v>
      </c>
      <c r="O199" s="24">
        <f>H199-J199</f>
        <v>-175</v>
      </c>
    </row>
    <row r="200" spans="1:15" x14ac:dyDescent="0.25">
      <c r="A200" s="2">
        <v>14193</v>
      </c>
      <c r="B200" s="2">
        <v>54353</v>
      </c>
      <c r="C200" s="2" t="s">
        <v>51</v>
      </c>
      <c r="G200" s="3"/>
      <c r="H200" s="4">
        <v>1500</v>
      </c>
      <c r="I200" s="4">
        <f>[1]Expense!N127</f>
        <v>1300</v>
      </c>
      <c r="J200" s="4">
        <f>[1]Expense!I127</f>
        <v>1500</v>
      </c>
      <c r="K200" s="4">
        <f>[2]Expense!K112</f>
        <v>1276.79</v>
      </c>
      <c r="L200" s="4">
        <v>1830.19</v>
      </c>
      <c r="M200" s="4">
        <v>1826.16</v>
      </c>
      <c r="N200" s="23">
        <f>(H200-J200)/J200</f>
        <v>0</v>
      </c>
      <c r="O200" s="24">
        <f>H200-J200</f>
        <v>0</v>
      </c>
    </row>
    <row r="201" spans="1:15" x14ac:dyDescent="0.25">
      <c r="C201" s="2" t="s">
        <v>147</v>
      </c>
      <c r="D201" s="2">
        <v>12</v>
      </c>
      <c r="E201" s="2">
        <f>+F201/D201</f>
        <v>125</v>
      </c>
      <c r="F201" s="2">
        <v>1500</v>
      </c>
      <c r="G201" s="3"/>
      <c r="H201" s="4"/>
      <c r="I201" s="4"/>
      <c r="N201" s="23"/>
      <c r="O201" s="24">
        <f>H201-J201</f>
        <v>0</v>
      </c>
    </row>
    <row r="202" spans="1:15" x14ac:dyDescent="0.25">
      <c r="A202" s="2">
        <v>14193</v>
      </c>
      <c r="B202" s="2">
        <v>54405</v>
      </c>
      <c r="C202" s="2" t="s">
        <v>148</v>
      </c>
      <c r="G202" s="3"/>
      <c r="H202" s="4">
        <v>21216</v>
      </c>
      <c r="I202" s="4">
        <f>[1]Expense!N128</f>
        <v>21216</v>
      </c>
      <c r="J202" s="4">
        <f>[1]Expense!I128</f>
        <v>21216</v>
      </c>
      <c r="K202" s="4">
        <f>[2]Expense!K113</f>
        <v>28599</v>
      </c>
      <c r="L202" s="4">
        <v>28599</v>
      </c>
      <c r="M202" s="4">
        <v>28599</v>
      </c>
      <c r="N202" s="23">
        <f>(H202-J202)/J202</f>
        <v>0</v>
      </c>
      <c r="O202" s="24">
        <f>H202-J202</f>
        <v>0</v>
      </c>
    </row>
    <row r="203" spans="1:15" x14ac:dyDescent="0.25">
      <c r="C203" s="2" t="s">
        <v>149</v>
      </c>
      <c r="G203" s="3"/>
      <c r="H203" s="4"/>
      <c r="I203" s="4"/>
      <c r="N203" s="23"/>
      <c r="O203" s="24">
        <f>H203-J203</f>
        <v>0</v>
      </c>
    </row>
    <row r="204" spans="1:15" x14ac:dyDescent="0.25">
      <c r="A204" s="2">
        <v>14193</v>
      </c>
      <c r="B204" s="2">
        <v>54800</v>
      </c>
      <c r="C204" s="2" t="s">
        <v>52</v>
      </c>
      <c r="G204" s="3"/>
      <c r="H204" s="3">
        <v>6554</v>
      </c>
      <c r="I204" s="4">
        <f>[1]Expense!N129</f>
        <v>5564</v>
      </c>
      <c r="J204" s="4">
        <f>[1]Expense!I129</f>
        <v>5564</v>
      </c>
      <c r="K204" s="4">
        <f>[2]Expense!K114</f>
        <v>5057.74</v>
      </c>
      <c r="L204" s="4">
        <v>4726.84</v>
      </c>
      <c r="M204" s="4">
        <v>4417.6000000000004</v>
      </c>
      <c r="N204" s="23">
        <f>(H204-J204)/J204</f>
        <v>0.17792954708842559</v>
      </c>
      <c r="O204" s="24">
        <f>H204-J204</f>
        <v>990</v>
      </c>
    </row>
    <row r="205" spans="1:15" x14ac:dyDescent="0.25">
      <c r="A205" s="2">
        <v>14193</v>
      </c>
      <c r="B205" s="2">
        <v>55500</v>
      </c>
      <c r="C205" s="2" t="s">
        <v>53</v>
      </c>
      <c r="G205" s="3"/>
      <c r="H205" s="4">
        <v>100</v>
      </c>
      <c r="I205" s="4">
        <f>[1]Expense!N130</f>
        <v>113</v>
      </c>
      <c r="J205" s="4">
        <f>[1]Expense!I130</f>
        <v>100</v>
      </c>
      <c r="K205" s="4">
        <f>[2]Expense!K115</f>
        <v>103.25</v>
      </c>
      <c r="L205" s="4">
        <v>182.58</v>
      </c>
      <c r="M205" s="4">
        <v>175.08</v>
      </c>
      <c r="N205" s="23">
        <f>(H205-J205)/J205</f>
        <v>0</v>
      </c>
      <c r="O205" s="24">
        <f>H205-J205</f>
        <v>0</v>
      </c>
    </row>
    <row r="206" spans="1:15" x14ac:dyDescent="0.25">
      <c r="C206" s="2" t="s">
        <v>150</v>
      </c>
      <c r="G206" s="3"/>
      <c r="H206" s="4"/>
      <c r="I206" s="4"/>
      <c r="N206" s="23"/>
      <c r="O206" s="24">
        <f>H206-J206</f>
        <v>0</v>
      </c>
    </row>
    <row r="207" spans="1:15" x14ac:dyDescent="0.25">
      <c r="A207" s="2">
        <v>14193</v>
      </c>
      <c r="B207" s="2">
        <v>55600</v>
      </c>
      <c r="C207" s="2" t="s">
        <v>77</v>
      </c>
      <c r="G207" s="3"/>
      <c r="H207" s="4">
        <v>310</v>
      </c>
      <c r="I207" s="4">
        <f>[1]Expense!N131</f>
        <v>310</v>
      </c>
      <c r="J207" s="4">
        <f>[1]Expense!I131</f>
        <v>310</v>
      </c>
      <c r="K207" s="4">
        <f>[2]Expense!K116</f>
        <v>310</v>
      </c>
      <c r="L207" s="4">
        <v>310</v>
      </c>
      <c r="M207" s="4">
        <v>310</v>
      </c>
      <c r="N207" s="23">
        <f>(H207-J207)/J207</f>
        <v>0</v>
      </c>
      <c r="O207" s="24">
        <f>H207-J207</f>
        <v>0</v>
      </c>
    </row>
    <row r="208" spans="1:15" x14ac:dyDescent="0.25">
      <c r="C208" s="2" t="s">
        <v>151</v>
      </c>
      <c r="D208" s="2">
        <v>1</v>
      </c>
      <c r="E208" s="2">
        <v>250</v>
      </c>
      <c r="F208" s="2">
        <v>250</v>
      </c>
      <c r="G208" s="3"/>
      <c r="H208" s="4"/>
      <c r="I208" s="4"/>
      <c r="N208" s="23"/>
      <c r="O208" s="24">
        <f>H208-J208</f>
        <v>0</v>
      </c>
    </row>
    <row r="209" spans="1:15" x14ac:dyDescent="0.25">
      <c r="C209" s="2" t="s">
        <v>152</v>
      </c>
      <c r="D209" s="2">
        <v>1</v>
      </c>
      <c r="E209" s="2">
        <v>60</v>
      </c>
      <c r="F209" s="2">
        <v>60</v>
      </c>
      <c r="G209" s="3"/>
      <c r="H209" s="4"/>
      <c r="I209" s="4"/>
      <c r="N209" s="23"/>
      <c r="O209" s="24">
        <f>H209-J209</f>
        <v>0</v>
      </c>
    </row>
    <row r="210" spans="1:15" x14ac:dyDescent="0.25">
      <c r="A210" s="2">
        <v>14193</v>
      </c>
      <c r="B210" s="2">
        <v>56100</v>
      </c>
      <c r="C210" s="2" t="s">
        <v>153</v>
      </c>
      <c r="G210" s="3"/>
      <c r="H210" s="4">
        <v>1500</v>
      </c>
      <c r="I210" s="4">
        <f>[1]Expense!N132</f>
        <v>1800</v>
      </c>
      <c r="J210" s="4">
        <f>[1]Expense!I132</f>
        <v>1800</v>
      </c>
      <c r="K210" s="4">
        <f>[2]Expense!K117</f>
        <v>1787.77</v>
      </c>
      <c r="L210" s="4">
        <v>1649.26</v>
      </c>
      <c r="M210" s="4">
        <v>1804.1</v>
      </c>
      <c r="N210" s="23">
        <f>(H210-J210)/J210</f>
        <v>-0.16666666666666666</v>
      </c>
      <c r="O210" s="24">
        <f>H210-J210</f>
        <v>-300</v>
      </c>
    </row>
    <row r="211" spans="1:15" x14ac:dyDescent="0.25">
      <c r="A211" s="2">
        <v>14193</v>
      </c>
      <c r="B211" s="2">
        <v>56110</v>
      </c>
      <c r="C211" s="2" t="s">
        <v>55</v>
      </c>
      <c r="G211" s="3"/>
      <c r="H211" s="4"/>
      <c r="I211" s="4"/>
      <c r="L211" s="4">
        <v>0</v>
      </c>
      <c r="M211" s="4">
        <v>426.06</v>
      </c>
      <c r="N211" s="23"/>
      <c r="O211" s="24">
        <f>H211-J211</f>
        <v>0</v>
      </c>
    </row>
    <row r="212" spans="1:15" x14ac:dyDescent="0.25">
      <c r="A212" s="2">
        <v>14193</v>
      </c>
      <c r="B212" s="2">
        <v>56130</v>
      </c>
      <c r="C212" s="2" t="s">
        <v>22</v>
      </c>
      <c r="G212" s="3"/>
      <c r="H212" s="4">
        <v>200</v>
      </c>
      <c r="I212" s="4">
        <f>[1]Expense!N133</f>
        <v>100</v>
      </c>
      <c r="J212" s="4">
        <f>[1]Expense!I133</f>
        <v>200</v>
      </c>
      <c r="K212" s="4">
        <f>[2]Expense!K118</f>
        <v>110.22</v>
      </c>
      <c r="L212" s="4">
        <v>0</v>
      </c>
      <c r="M212" s="4">
        <v>0</v>
      </c>
      <c r="N212" s="23">
        <f>(H212-J212)/J212</f>
        <v>0</v>
      </c>
      <c r="O212" s="24">
        <f>H212-J212</f>
        <v>0</v>
      </c>
    </row>
    <row r="213" spans="1:15" x14ac:dyDescent="0.25">
      <c r="A213" s="2">
        <v>14193</v>
      </c>
      <c r="B213" s="2">
        <v>56200</v>
      </c>
      <c r="C213" s="2" t="s">
        <v>56</v>
      </c>
      <c r="G213" s="3"/>
      <c r="H213" s="4">
        <v>300</v>
      </c>
      <c r="I213" s="4">
        <f>[1]Expense!N134</f>
        <v>400</v>
      </c>
      <c r="J213" s="4">
        <f>[1]Expense!I134</f>
        <v>400</v>
      </c>
      <c r="K213" s="4">
        <f>[2]Expense!K119</f>
        <v>357.54</v>
      </c>
      <c r="L213" s="4">
        <v>0</v>
      </c>
      <c r="M213" s="4">
        <v>30.71</v>
      </c>
      <c r="N213" s="23">
        <f>(H213-J213)/J213</f>
        <v>-0.25</v>
      </c>
      <c r="O213" s="24">
        <f>H213-J213</f>
        <v>-100</v>
      </c>
    </row>
    <row r="214" spans="1:15" x14ac:dyDescent="0.25">
      <c r="A214" s="2">
        <v>14193</v>
      </c>
      <c r="B214" s="2">
        <v>56250</v>
      </c>
      <c r="C214" s="2" t="s">
        <v>57</v>
      </c>
      <c r="G214" s="3"/>
      <c r="H214" s="4">
        <v>1610</v>
      </c>
      <c r="I214" s="4">
        <f>[1]Expense!N135</f>
        <v>1100</v>
      </c>
      <c r="J214" s="4">
        <f>[1]Expense!I135</f>
        <v>1850</v>
      </c>
      <c r="K214" s="4">
        <f>[2]Expense!K120</f>
        <v>1163.6199999999999</v>
      </c>
      <c r="L214" s="4">
        <v>357.79</v>
      </c>
      <c r="M214" s="4">
        <v>720.01</v>
      </c>
      <c r="N214" s="23">
        <f>(H214-J214)/J214</f>
        <v>-0.12972972972972974</v>
      </c>
      <c r="O214" s="24">
        <f>H214-J214</f>
        <v>-240</v>
      </c>
    </row>
    <row r="215" spans="1:15" x14ac:dyDescent="0.25">
      <c r="A215" s="2">
        <v>14193</v>
      </c>
      <c r="B215" s="2">
        <v>56680</v>
      </c>
      <c r="C215" s="2" t="s">
        <v>59</v>
      </c>
      <c r="G215" s="3"/>
      <c r="I215" s="4">
        <f>[1]Expense!N136</f>
        <v>0</v>
      </c>
      <c r="J215" s="4">
        <f>[1]Expense!I136</f>
        <v>0</v>
      </c>
      <c r="K215" s="4">
        <f>[2]Expense!K121</f>
        <v>3625</v>
      </c>
      <c r="L215" s="4">
        <v>1780.49</v>
      </c>
      <c r="M215" s="4">
        <v>2576.4499999999998</v>
      </c>
      <c r="N215" s="23"/>
      <c r="O215" s="24">
        <f>H215-J215</f>
        <v>0</v>
      </c>
    </row>
    <row r="216" spans="1:15" s="5" customFormat="1" x14ac:dyDescent="0.25">
      <c r="A216" s="5" t="s">
        <v>23</v>
      </c>
      <c r="B216" s="5" t="s">
        <v>154</v>
      </c>
      <c r="G216" s="21">
        <f t="shared" ref="G216:M216" si="5">SUM(G178:G215)</f>
        <v>0</v>
      </c>
      <c r="H216" s="21">
        <f t="shared" si="5"/>
        <v>451936</v>
      </c>
      <c r="I216" s="22">
        <f t="shared" si="5"/>
        <v>431957</v>
      </c>
      <c r="J216" s="22">
        <f t="shared" si="5"/>
        <v>446382.6</v>
      </c>
      <c r="K216" s="22">
        <f t="shared" si="5"/>
        <v>393691.09999999992</v>
      </c>
      <c r="L216" s="22">
        <f t="shared" si="5"/>
        <v>389934.72000000009</v>
      </c>
      <c r="M216" s="22">
        <f t="shared" si="5"/>
        <v>408334.09</v>
      </c>
      <c r="N216" s="25">
        <f>(H216-J216)/J216</f>
        <v>1.2440897113821245E-2</v>
      </c>
      <c r="O216" s="26">
        <f>H216-J216</f>
        <v>5553.4000000000233</v>
      </c>
    </row>
    <row r="217" spans="1:15" x14ac:dyDescent="0.25">
      <c r="K217" s="22"/>
      <c r="N217" s="23"/>
      <c r="O217" s="24">
        <f>H217-J217</f>
        <v>0</v>
      </c>
    </row>
    <row r="218" spans="1:15" s="5" customFormat="1" x14ac:dyDescent="0.25">
      <c r="A218" s="5">
        <v>14194</v>
      </c>
      <c r="B218" s="5" t="s">
        <v>155</v>
      </c>
      <c r="H218" s="21"/>
      <c r="I218" s="2"/>
      <c r="J218" s="4"/>
      <c r="K218" s="4"/>
      <c r="L218" s="22"/>
      <c r="M218" s="22"/>
      <c r="N218" s="23"/>
      <c r="O218" s="24">
        <f>H218-J218</f>
        <v>0</v>
      </c>
    </row>
    <row r="219" spans="1:15" x14ac:dyDescent="0.25">
      <c r="A219" s="2">
        <v>14194</v>
      </c>
      <c r="B219" s="2">
        <v>51100</v>
      </c>
      <c r="C219" s="2" t="s">
        <v>26</v>
      </c>
      <c r="G219" s="3"/>
      <c r="H219" s="4">
        <v>313100</v>
      </c>
      <c r="I219" s="4">
        <f>[1]Expense!N140</f>
        <v>284000</v>
      </c>
      <c r="J219" s="4">
        <f>[1]Expense!I140</f>
        <v>284000</v>
      </c>
      <c r="K219" s="4">
        <f>[2]Expense!K125</f>
        <v>202451.7</v>
      </c>
      <c r="L219" s="4">
        <v>203123.08</v>
      </c>
      <c r="M219" s="4">
        <v>197776.77</v>
      </c>
      <c r="N219" s="23">
        <f>(H219-J219)/J219</f>
        <v>0.10246478873239437</v>
      </c>
      <c r="O219" s="24">
        <f>H219-J219</f>
        <v>29100</v>
      </c>
    </row>
    <row r="220" spans="1:15" x14ac:dyDescent="0.25">
      <c r="A220" s="2">
        <v>14194</v>
      </c>
      <c r="B220" s="2">
        <v>51200</v>
      </c>
      <c r="C220" s="2" t="s">
        <v>27</v>
      </c>
      <c r="G220" s="3"/>
      <c r="H220" s="4"/>
      <c r="I220" s="4"/>
      <c r="K220" s="4">
        <f>[2]Expense!K126</f>
        <v>172.5</v>
      </c>
      <c r="L220" s="4">
        <v>0</v>
      </c>
      <c r="M220" s="4">
        <v>0</v>
      </c>
      <c r="N220" s="23"/>
      <c r="O220" s="24">
        <f>H220-J220</f>
        <v>0</v>
      </c>
    </row>
    <row r="221" spans="1:15" x14ac:dyDescent="0.25">
      <c r="A221" s="2">
        <v>14194</v>
      </c>
      <c r="B221" s="2">
        <v>51400</v>
      </c>
      <c r="C221" s="2" t="s">
        <v>29</v>
      </c>
      <c r="G221" s="3"/>
      <c r="H221" s="4">
        <v>3500</v>
      </c>
      <c r="I221" s="4">
        <f>[1]Expense!N141</f>
        <v>5500</v>
      </c>
      <c r="J221" s="4">
        <f>[1]Expense!I141</f>
        <v>2500</v>
      </c>
      <c r="K221" s="4">
        <f>[2]Expense!K127</f>
        <v>1797.73</v>
      </c>
      <c r="L221" s="4">
        <v>1581.31</v>
      </c>
      <c r="M221" s="4">
        <v>1652.73</v>
      </c>
      <c r="N221" s="23">
        <f>(H221-J221)/J221</f>
        <v>0.4</v>
      </c>
      <c r="O221" s="24">
        <f>H221-J221</f>
        <v>1000</v>
      </c>
    </row>
    <row r="222" spans="1:15" x14ac:dyDescent="0.25">
      <c r="A222" s="2">
        <v>14194</v>
      </c>
      <c r="B222" s="2">
        <v>51500</v>
      </c>
      <c r="C222" s="2" t="s">
        <v>121</v>
      </c>
      <c r="G222" s="3"/>
      <c r="H222" s="4">
        <v>6000</v>
      </c>
      <c r="I222" s="4">
        <f>[1]Expense!N142</f>
        <v>3925</v>
      </c>
      <c r="J222" s="4">
        <f>[1]Expense!I142</f>
        <v>4975</v>
      </c>
      <c r="K222" s="4">
        <f>[2]Expense!K128</f>
        <v>1354.5</v>
      </c>
      <c r="L222" s="4">
        <v>0</v>
      </c>
      <c r="M222" s="4">
        <v>413.66</v>
      </c>
      <c r="N222" s="23">
        <f>(H222-J222)/J222</f>
        <v>0.20603015075376885</v>
      </c>
      <c r="O222" s="24">
        <f>H222-J222</f>
        <v>1025</v>
      </c>
    </row>
    <row r="223" spans="1:15" x14ac:dyDescent="0.25">
      <c r="A223" s="2">
        <v>14194</v>
      </c>
      <c r="B223" s="2">
        <v>51510</v>
      </c>
      <c r="C223" s="2" t="s">
        <v>31</v>
      </c>
      <c r="G223" s="3"/>
      <c r="H223" s="4"/>
      <c r="I223" s="4"/>
      <c r="L223" s="4">
        <v>1700.36</v>
      </c>
      <c r="M223" s="4">
        <v>1277.98</v>
      </c>
      <c r="N223" s="23" t="e">
        <f>(H223-J223)/J223</f>
        <v>#DIV/0!</v>
      </c>
      <c r="O223" s="24">
        <f>H223-J223</f>
        <v>0</v>
      </c>
    </row>
    <row r="224" spans="1:15" x14ac:dyDescent="0.25">
      <c r="A224" s="2">
        <v>14194</v>
      </c>
      <c r="B224" s="2">
        <v>51520</v>
      </c>
      <c r="C224" s="2" t="s">
        <v>32</v>
      </c>
      <c r="G224" s="3"/>
      <c r="H224" s="4">
        <v>700</v>
      </c>
      <c r="I224" s="4">
        <f>[1]Expense!N143</f>
        <v>600</v>
      </c>
      <c r="J224" s="4">
        <f>[1]Expense!I143</f>
        <v>600</v>
      </c>
      <c r="K224" s="4">
        <f>[2]Expense!K129</f>
        <v>560</v>
      </c>
      <c r="L224" s="4">
        <v>660</v>
      </c>
      <c r="M224" s="4">
        <v>380</v>
      </c>
      <c r="N224" s="23">
        <f>(H224-J224)/J224</f>
        <v>0.16666666666666666</v>
      </c>
      <c r="O224" s="24">
        <f>H224-J224</f>
        <v>100</v>
      </c>
    </row>
    <row r="225" spans="1:15" x14ac:dyDescent="0.25">
      <c r="A225" s="2">
        <v>14194</v>
      </c>
      <c r="B225" s="2">
        <v>52100</v>
      </c>
      <c r="C225" s="2" t="s">
        <v>33</v>
      </c>
      <c r="G225" s="3"/>
      <c r="H225" s="4">
        <v>75275</v>
      </c>
      <c r="I225" s="4">
        <f>[1]Expense!N144</f>
        <v>63330</v>
      </c>
      <c r="J225" s="4">
        <f>[1]Expense!I144</f>
        <v>80800</v>
      </c>
      <c r="K225" s="4">
        <f>[2]Expense!K130</f>
        <v>53888</v>
      </c>
      <c r="L225" s="4">
        <v>80140.639999999999</v>
      </c>
      <c r="M225" s="4">
        <v>68744.08</v>
      </c>
      <c r="N225" s="23">
        <f>(H225-J225)/J225</f>
        <v>-6.8378712871287134E-2</v>
      </c>
      <c r="O225" s="24">
        <f>H225-J225</f>
        <v>-5525</v>
      </c>
    </row>
    <row r="226" spans="1:15" x14ac:dyDescent="0.25">
      <c r="A226" s="2">
        <v>14194</v>
      </c>
      <c r="B226" s="2">
        <v>52140</v>
      </c>
      <c r="C226" s="2" t="s">
        <v>34</v>
      </c>
      <c r="G226" s="3"/>
      <c r="H226" s="3">
        <v>585</v>
      </c>
      <c r="I226" s="4">
        <f>[1]Expense!N145</f>
        <v>330</v>
      </c>
      <c r="J226" s="4">
        <f>[1]Expense!I145</f>
        <v>474.3</v>
      </c>
      <c r="N226" s="23">
        <f>(H226-J226)/J226</f>
        <v>0.23339658444022768</v>
      </c>
      <c r="O226" s="24">
        <f>H226-J226</f>
        <v>110.69999999999999</v>
      </c>
    </row>
    <row r="227" spans="1:15" x14ac:dyDescent="0.25">
      <c r="A227" s="2">
        <v>14194</v>
      </c>
      <c r="B227" s="2">
        <v>52200</v>
      </c>
      <c r="C227" s="2" t="s">
        <v>35</v>
      </c>
      <c r="G227" s="3"/>
      <c r="H227" s="4">
        <v>24600</v>
      </c>
      <c r="I227" s="4">
        <f>[1]Expense!N146</f>
        <v>22400</v>
      </c>
      <c r="J227" s="4">
        <f>[1]Expense!I146</f>
        <v>22400</v>
      </c>
      <c r="K227" s="4">
        <f>[2]Expense!K131</f>
        <v>15259.85</v>
      </c>
      <c r="L227" s="4">
        <v>15180.08</v>
      </c>
      <c r="M227" s="4">
        <v>14786.53</v>
      </c>
      <c r="N227" s="23">
        <f>(H227-J227)/J227</f>
        <v>9.8214285714285712E-2</v>
      </c>
      <c r="O227" s="24">
        <f>H227-J227</f>
        <v>2200</v>
      </c>
    </row>
    <row r="228" spans="1:15" x14ac:dyDescent="0.25">
      <c r="A228" s="2">
        <v>14194</v>
      </c>
      <c r="B228" s="2">
        <v>52230</v>
      </c>
      <c r="C228" s="2" t="s">
        <v>36</v>
      </c>
      <c r="G228" s="3"/>
      <c r="H228" s="4">
        <v>43500</v>
      </c>
      <c r="I228" s="4">
        <f>[1]Expense!N147</f>
        <v>40300</v>
      </c>
      <c r="J228" s="4">
        <f>[1]Expense!I147</f>
        <v>40300</v>
      </c>
      <c r="K228" s="4">
        <f>[2]Expense!K132</f>
        <v>28645.47</v>
      </c>
      <c r="L228" s="4">
        <v>26132.27</v>
      </c>
      <c r="M228" s="4">
        <v>22461.82</v>
      </c>
      <c r="N228" s="23">
        <f>(H228-J228)/J228</f>
        <v>7.9404466501240695E-2</v>
      </c>
      <c r="O228" s="24">
        <f>H228-J228</f>
        <v>3200</v>
      </c>
    </row>
    <row r="229" spans="1:15" x14ac:dyDescent="0.25">
      <c r="A229" s="2">
        <v>14194</v>
      </c>
      <c r="B229" s="2">
        <v>52250</v>
      </c>
      <c r="C229" s="2" t="s">
        <v>37</v>
      </c>
      <c r="G229" s="3"/>
      <c r="H229" s="3">
        <v>207</v>
      </c>
      <c r="I229" s="4">
        <f>[1]Expense!N148</f>
        <v>108</v>
      </c>
      <c r="J229" s="4">
        <f>[1]Expense!I148</f>
        <v>108</v>
      </c>
      <c r="K229" s="4">
        <f>[2]Expense!K133</f>
        <v>119.25</v>
      </c>
      <c r="L229" s="4">
        <v>200.43</v>
      </c>
      <c r="M229" s="4">
        <v>200.43</v>
      </c>
      <c r="N229" s="23">
        <f>(H229-J229)/J229</f>
        <v>0.91666666666666663</v>
      </c>
      <c r="O229" s="24">
        <f>H229-J229</f>
        <v>99</v>
      </c>
    </row>
    <row r="230" spans="1:15" x14ac:dyDescent="0.25">
      <c r="A230" s="2">
        <v>14194</v>
      </c>
      <c r="B230" s="2">
        <v>52260</v>
      </c>
      <c r="C230" s="2" t="s">
        <v>38</v>
      </c>
      <c r="G230" s="3"/>
      <c r="H230" s="3">
        <v>6358</v>
      </c>
      <c r="I230" s="4">
        <f>[1]Expense!N149</f>
        <v>7293</v>
      </c>
      <c r="J230" s="4">
        <f>[1]Expense!I149</f>
        <v>7293</v>
      </c>
      <c r="K230" s="4">
        <f>[2]Expense!K134</f>
        <v>8290</v>
      </c>
      <c r="L230" s="4">
        <v>4898</v>
      </c>
      <c r="M230" s="4">
        <v>5695</v>
      </c>
      <c r="N230" s="23">
        <f>(H230-J230)/J230</f>
        <v>-0.12820512820512819</v>
      </c>
      <c r="O230" s="24">
        <f>H230-J230</f>
        <v>-935</v>
      </c>
    </row>
    <row r="231" spans="1:15" x14ac:dyDescent="0.25">
      <c r="A231" s="2">
        <v>14194</v>
      </c>
      <c r="B231" s="2">
        <v>53320</v>
      </c>
      <c r="C231" s="2" t="s">
        <v>156</v>
      </c>
      <c r="G231" s="3"/>
      <c r="H231" s="4"/>
      <c r="I231" s="4"/>
      <c r="K231" s="4">
        <f>[2]Expense!K135</f>
        <v>10144</v>
      </c>
      <c r="L231" s="4">
        <v>12362.67</v>
      </c>
      <c r="M231" s="4">
        <v>12064</v>
      </c>
      <c r="N231" s="23"/>
      <c r="O231" s="24">
        <f>H231-J231</f>
        <v>0</v>
      </c>
    </row>
    <row r="232" spans="1:15" x14ac:dyDescent="0.25">
      <c r="A232" s="2">
        <v>14194</v>
      </c>
      <c r="B232" s="2">
        <v>53360</v>
      </c>
      <c r="C232" s="2" t="s">
        <v>157</v>
      </c>
      <c r="G232" s="3"/>
      <c r="H232" s="4">
        <v>3100</v>
      </c>
      <c r="I232" s="4"/>
      <c r="N232" s="23"/>
      <c r="O232" s="24">
        <f>H232-J232</f>
        <v>3100</v>
      </c>
    </row>
    <row r="233" spans="1:15" x14ac:dyDescent="0.25">
      <c r="C233" s="2" t="s">
        <v>158</v>
      </c>
      <c r="D233" s="2">
        <v>1</v>
      </c>
      <c r="E233" s="2">
        <v>2600</v>
      </c>
      <c r="F233" s="2">
        <v>2600</v>
      </c>
      <c r="G233" s="3"/>
      <c r="I233" s="4"/>
      <c r="N233" s="23"/>
      <c r="O233" s="24">
        <f>H233-J233</f>
        <v>0</v>
      </c>
    </row>
    <row r="234" spans="1:15" x14ac:dyDescent="0.25">
      <c r="C234" s="2" t="s">
        <v>159</v>
      </c>
      <c r="G234" s="3"/>
      <c r="I234" s="4"/>
      <c r="N234" s="23"/>
      <c r="O234" s="24">
        <f>H234-J234</f>
        <v>0</v>
      </c>
    </row>
    <row r="235" spans="1:15" x14ac:dyDescent="0.25">
      <c r="C235" s="2" t="s">
        <v>160</v>
      </c>
      <c r="D235" s="2">
        <v>1</v>
      </c>
      <c r="E235" s="2">
        <v>500</v>
      </c>
      <c r="F235" s="2">
        <v>500</v>
      </c>
      <c r="G235" s="3"/>
      <c r="I235" s="4"/>
      <c r="N235" s="23"/>
      <c r="O235" s="24">
        <f>H235-J235</f>
        <v>0</v>
      </c>
    </row>
    <row r="236" spans="1:15" x14ac:dyDescent="0.25">
      <c r="A236" s="2">
        <v>14194</v>
      </c>
      <c r="B236" s="2">
        <v>53410</v>
      </c>
      <c r="C236" s="2" t="s">
        <v>40</v>
      </c>
      <c r="G236" s="3"/>
      <c r="H236" s="4">
        <f>4920</f>
        <v>4920</v>
      </c>
      <c r="I236" s="4">
        <f>[1]Expense!N152</f>
        <v>3400</v>
      </c>
      <c r="J236" s="4">
        <f>[1]Expense!I152</f>
        <v>2880</v>
      </c>
      <c r="K236" s="4">
        <f>[2]Expense!K136</f>
        <v>2715.07</v>
      </c>
      <c r="L236" s="4">
        <v>2633.87</v>
      </c>
      <c r="M236" s="4">
        <v>2690.42</v>
      </c>
      <c r="N236" s="23">
        <f>(H236-J236)/J236</f>
        <v>0.70833333333333337</v>
      </c>
      <c r="O236" s="24">
        <f>H236-J236</f>
        <v>2040</v>
      </c>
    </row>
    <row r="237" spans="1:15" x14ac:dyDescent="0.25">
      <c r="C237" s="2" t="s">
        <v>161</v>
      </c>
      <c r="D237" s="2">
        <v>12</v>
      </c>
      <c r="E237" s="2">
        <v>150</v>
      </c>
      <c r="F237" s="2">
        <v>1800</v>
      </c>
      <c r="G237" s="3"/>
      <c r="H237" s="4"/>
      <c r="I237" s="4"/>
      <c r="N237" s="23"/>
      <c r="O237" s="24">
        <f>H237-J237</f>
        <v>0</v>
      </c>
    </row>
    <row r="238" spans="1:15" x14ac:dyDescent="0.25">
      <c r="C238" s="2" t="s">
        <v>162</v>
      </c>
      <c r="D238" s="2">
        <v>4</v>
      </c>
      <c r="E238" s="2">
        <v>780</v>
      </c>
      <c r="F238" s="2">
        <v>3120</v>
      </c>
      <c r="G238" s="3"/>
      <c r="H238" s="4"/>
      <c r="I238" s="4"/>
      <c r="N238" s="23"/>
      <c r="O238" s="24">
        <f>H238-J238</f>
        <v>0</v>
      </c>
    </row>
    <row r="239" spans="1:15" x14ac:dyDescent="0.25">
      <c r="A239" s="2">
        <v>14194</v>
      </c>
      <c r="B239" s="2">
        <v>53412</v>
      </c>
      <c r="C239" s="2" t="s">
        <v>163</v>
      </c>
      <c r="G239" s="3"/>
      <c r="H239" s="4">
        <f>SUM(F240:F242)</f>
        <v>12750</v>
      </c>
      <c r="I239" s="4">
        <f>[1]Expense!N153</f>
        <v>11577</v>
      </c>
      <c r="J239" s="4">
        <f>[1]Expense!I153</f>
        <v>12750</v>
      </c>
      <c r="K239" s="4">
        <f>[2]Expense!K137</f>
        <v>6988.78</v>
      </c>
      <c r="L239" s="4">
        <v>6406.39</v>
      </c>
      <c r="M239" s="4">
        <v>6728.4</v>
      </c>
      <c r="N239" s="23">
        <f>(H239-J239)/J239</f>
        <v>0</v>
      </c>
      <c r="O239" s="24">
        <f>H239-J239</f>
        <v>0</v>
      </c>
    </row>
    <row r="240" spans="1:15" x14ac:dyDescent="0.25">
      <c r="C240" s="2" t="s">
        <v>164</v>
      </c>
      <c r="D240" s="2">
        <v>12</v>
      </c>
      <c r="E240" s="2">
        <v>350</v>
      </c>
      <c r="F240" s="2">
        <v>4200</v>
      </c>
      <c r="G240" s="3"/>
      <c r="I240" s="4"/>
      <c r="N240" s="23"/>
      <c r="O240" s="24">
        <f>H240-J240</f>
        <v>0</v>
      </c>
    </row>
    <row r="241" spans="1:15" x14ac:dyDescent="0.25">
      <c r="C241" s="2" t="s">
        <v>165</v>
      </c>
      <c r="D241" s="2">
        <v>12</v>
      </c>
      <c r="E241" s="2">
        <v>300</v>
      </c>
      <c r="F241" s="2">
        <v>3600</v>
      </c>
      <c r="G241" s="3"/>
      <c r="I241" s="4"/>
      <c r="N241" s="23"/>
      <c r="O241" s="24">
        <f>H241-J241</f>
        <v>0</v>
      </c>
    </row>
    <row r="242" spans="1:15" x14ac:dyDescent="0.25">
      <c r="C242" s="2" t="s">
        <v>166</v>
      </c>
      <c r="D242" s="2">
        <v>1</v>
      </c>
      <c r="E242" s="2">
        <v>4950</v>
      </c>
      <c r="F242" s="2">
        <v>4950</v>
      </c>
      <c r="G242" s="3"/>
      <c r="I242" s="4"/>
      <c r="N242" s="23"/>
      <c r="O242" s="24">
        <f>H242-J242</f>
        <v>0</v>
      </c>
    </row>
    <row r="243" spans="1:15" x14ac:dyDescent="0.25">
      <c r="A243" s="2">
        <v>14194</v>
      </c>
      <c r="B243" s="2">
        <v>53420</v>
      </c>
      <c r="C243" s="2" t="s">
        <v>167</v>
      </c>
      <c r="G243" s="3"/>
      <c r="I243" s="4">
        <f>[1]Expense!N154</f>
        <v>28000</v>
      </c>
      <c r="J243" s="4">
        <f>[1]Expense!I154</f>
        <v>25875</v>
      </c>
      <c r="K243" s="4">
        <f>[2]Expense!K138</f>
        <v>26754.18</v>
      </c>
      <c r="L243" s="4">
        <v>19891.16</v>
      </c>
      <c r="M243" s="4">
        <v>20348.25</v>
      </c>
      <c r="N243" s="23">
        <f>(H243-J243)/J243</f>
        <v>-1</v>
      </c>
      <c r="O243" s="24">
        <f>H243-J243</f>
        <v>-25875</v>
      </c>
    </row>
    <row r="244" spans="1:15" x14ac:dyDescent="0.25">
      <c r="A244" s="2">
        <v>14194</v>
      </c>
      <c r="B244" s="2">
        <v>53600</v>
      </c>
      <c r="C244" s="2" t="s">
        <v>168</v>
      </c>
      <c r="G244" s="3"/>
      <c r="I244" s="4">
        <f>[1]Expense!N155</f>
        <v>6300</v>
      </c>
      <c r="J244" s="4">
        <f>[1]Expense!I155</f>
        <v>4800</v>
      </c>
      <c r="K244" s="4">
        <f>[2]Expense!K139</f>
        <v>5996.45</v>
      </c>
      <c r="L244" s="4">
        <v>3828.07</v>
      </c>
      <c r="M244" s="4">
        <v>3871.17</v>
      </c>
      <c r="N244" s="23">
        <f>(H244-J244)/J244</f>
        <v>-1</v>
      </c>
      <c r="O244" s="24">
        <f>H244-J244</f>
        <v>-4800</v>
      </c>
    </row>
    <row r="245" spans="1:15" x14ac:dyDescent="0.25">
      <c r="A245" s="2">
        <v>14194</v>
      </c>
      <c r="B245" s="2">
        <v>54100</v>
      </c>
      <c r="C245" s="2" t="s">
        <v>169</v>
      </c>
      <c r="G245" s="3"/>
      <c r="H245" s="4">
        <v>200000</v>
      </c>
      <c r="I245" s="4">
        <f>[1]Expense!N156</f>
        <v>190000</v>
      </c>
      <c r="J245" s="4">
        <f>[1]Expense!I156</f>
        <v>195000</v>
      </c>
      <c r="K245" s="4">
        <f>[2]Expense!K140</f>
        <v>117255.88</v>
      </c>
      <c r="L245" s="4">
        <v>134756.89000000001</v>
      </c>
      <c r="M245" s="4">
        <v>125834.38</v>
      </c>
      <c r="N245" s="23">
        <f>(H245-J245)/J245</f>
        <v>2.564102564102564E-2</v>
      </c>
      <c r="O245" s="24">
        <f>H245-J245</f>
        <v>5000</v>
      </c>
    </row>
    <row r="246" spans="1:15" x14ac:dyDescent="0.25">
      <c r="A246" s="2">
        <v>14194</v>
      </c>
      <c r="B246" s="2">
        <v>54110</v>
      </c>
      <c r="C246" s="2" t="s">
        <v>170</v>
      </c>
      <c r="G246" s="3"/>
      <c r="H246" s="4">
        <v>115000</v>
      </c>
      <c r="I246" s="4">
        <f>[1]Expense!N157</f>
        <v>85000</v>
      </c>
      <c r="J246" s="4">
        <f>[1]Expense!I157</f>
        <v>93000</v>
      </c>
      <c r="K246" s="4">
        <f>[2]Expense!K141</f>
        <v>71723.820000000007</v>
      </c>
      <c r="L246" s="4">
        <v>71993.02</v>
      </c>
      <c r="M246" s="4">
        <v>69536.92</v>
      </c>
      <c r="N246" s="23">
        <f>(H246-J246)/J246</f>
        <v>0.23655913978494625</v>
      </c>
      <c r="O246" s="24">
        <f>H246-J246</f>
        <v>22000</v>
      </c>
    </row>
    <row r="247" spans="1:15" x14ac:dyDescent="0.25">
      <c r="C247" s="2" t="s">
        <v>171</v>
      </c>
      <c r="G247" s="3"/>
      <c r="H247" s="4"/>
      <c r="I247" s="4"/>
      <c r="N247" s="23"/>
      <c r="O247" s="24">
        <f>H247-J247</f>
        <v>0</v>
      </c>
    </row>
    <row r="248" spans="1:15" x14ac:dyDescent="0.25">
      <c r="A248" s="2">
        <v>14194</v>
      </c>
      <c r="B248" s="2">
        <v>54120</v>
      </c>
      <c r="C248" s="2" t="s">
        <v>172</v>
      </c>
      <c r="G248" s="3"/>
      <c r="H248" s="4">
        <v>40000</v>
      </c>
      <c r="I248" s="4">
        <f>[1]Expense!N158</f>
        <v>33620</v>
      </c>
      <c r="J248" s="4">
        <f>[1]Expense!I158</f>
        <v>33620</v>
      </c>
      <c r="K248" s="4">
        <f>[2]Expense!K142</f>
        <v>31855.65</v>
      </c>
      <c r="L248" s="4">
        <v>31636.37</v>
      </c>
      <c r="M248" s="4">
        <v>29768.25</v>
      </c>
      <c r="N248" s="23">
        <f>(H248-J248)/J248</f>
        <v>0.18976799524092802</v>
      </c>
      <c r="O248" s="24">
        <f>H248-J248</f>
        <v>6380</v>
      </c>
    </row>
    <row r="249" spans="1:15" x14ac:dyDescent="0.25">
      <c r="C249" s="2" t="s">
        <v>173</v>
      </c>
      <c r="G249" s="3"/>
      <c r="H249" s="4"/>
      <c r="I249" s="4"/>
      <c r="N249" s="23"/>
      <c r="O249" s="24">
        <f>H249-J249</f>
        <v>0</v>
      </c>
    </row>
    <row r="250" spans="1:15" x14ac:dyDescent="0.25">
      <c r="C250" s="2" t="s">
        <v>174</v>
      </c>
      <c r="G250" s="3"/>
      <c r="H250" s="4"/>
      <c r="I250" s="4"/>
      <c r="N250" s="23"/>
      <c r="O250" s="24">
        <f>H250-J250</f>
        <v>0</v>
      </c>
    </row>
    <row r="251" spans="1:15" x14ac:dyDescent="0.25">
      <c r="A251" s="2">
        <v>14194</v>
      </c>
      <c r="B251" s="2">
        <v>54305</v>
      </c>
      <c r="C251" s="2" t="s">
        <v>175</v>
      </c>
      <c r="G251" s="3"/>
      <c r="H251" s="4">
        <v>27500</v>
      </c>
      <c r="I251" s="4">
        <f>[1]Expense!N159</f>
        <v>12000</v>
      </c>
      <c r="J251" s="4">
        <f>[1]Expense!I159</f>
        <v>23230</v>
      </c>
      <c r="K251" s="4">
        <f>[2]Expense!K143</f>
        <v>27563.41</v>
      </c>
      <c r="L251" s="4">
        <v>39042.76</v>
      </c>
      <c r="M251" s="4">
        <v>18721.240000000002</v>
      </c>
      <c r="N251" s="23">
        <f>(H251-J251)/J251</f>
        <v>0.18381403357727077</v>
      </c>
      <c r="O251" s="24">
        <f>H251-J251</f>
        <v>4270</v>
      </c>
    </row>
    <row r="252" spans="1:15" x14ac:dyDescent="0.25">
      <c r="C252" s="2" t="s">
        <v>176</v>
      </c>
      <c r="D252" s="2">
        <v>1</v>
      </c>
      <c r="E252" s="2">
        <v>25000</v>
      </c>
      <c r="F252" s="2">
        <v>25000</v>
      </c>
      <c r="G252" s="3"/>
      <c r="I252" s="4"/>
      <c r="N252" s="23"/>
      <c r="O252" s="24">
        <f>H252-J252</f>
        <v>0</v>
      </c>
    </row>
    <row r="253" spans="1:15" x14ac:dyDescent="0.25">
      <c r="C253" s="2" t="s">
        <v>177</v>
      </c>
      <c r="D253" s="2">
        <v>1</v>
      </c>
      <c r="E253" s="2">
        <v>2500</v>
      </c>
      <c r="F253" s="2">
        <v>2500</v>
      </c>
      <c r="G253" s="3"/>
      <c r="I253" s="4"/>
      <c r="N253" s="23"/>
      <c r="O253" s="24">
        <f>H253-J253</f>
        <v>0</v>
      </c>
    </row>
    <row r="254" spans="1:15" x14ac:dyDescent="0.25">
      <c r="C254" s="2" t="s">
        <v>178</v>
      </c>
      <c r="G254" s="3"/>
      <c r="I254" s="4"/>
      <c r="N254" s="23"/>
      <c r="O254" s="24">
        <f>H254-J254</f>
        <v>0</v>
      </c>
    </row>
    <row r="255" spans="1:15" x14ac:dyDescent="0.25">
      <c r="A255" s="2">
        <v>14194</v>
      </c>
      <c r="B255" s="2">
        <v>54310</v>
      </c>
      <c r="C255" s="2" t="s">
        <v>179</v>
      </c>
      <c r="G255" s="3"/>
      <c r="H255" s="4">
        <v>15000</v>
      </c>
      <c r="I255" s="4">
        <f>[1]Expense!N160</f>
        <v>20000</v>
      </c>
      <c r="J255" s="4">
        <f>[1]Expense!I160</f>
        <v>11820</v>
      </c>
      <c r="K255" s="4">
        <f>[2]Expense!K144</f>
        <v>16421.23</v>
      </c>
      <c r="L255" s="4">
        <v>11036.25</v>
      </c>
      <c r="M255" s="4">
        <v>8782.9</v>
      </c>
      <c r="N255" s="23">
        <f>(H255-J255)/J255</f>
        <v>0.26903553299492383</v>
      </c>
      <c r="O255" s="24">
        <f>H255-J255</f>
        <v>3180</v>
      </c>
    </row>
    <row r="256" spans="1:15" x14ac:dyDescent="0.25">
      <c r="A256" s="2">
        <v>14194</v>
      </c>
      <c r="B256" s="2">
        <v>54430</v>
      </c>
      <c r="C256" s="2" t="s">
        <v>180</v>
      </c>
      <c r="G256" s="3"/>
      <c r="H256" s="4">
        <v>2500</v>
      </c>
      <c r="I256" s="4"/>
      <c r="N256" s="23"/>
      <c r="O256" s="24">
        <f>H256-J256</f>
        <v>2500</v>
      </c>
    </row>
    <row r="257" spans="1:15" x14ac:dyDescent="0.25">
      <c r="A257" s="2">
        <v>14194</v>
      </c>
      <c r="B257" s="2">
        <v>54431</v>
      </c>
      <c r="C257" s="2" t="s">
        <v>181</v>
      </c>
      <c r="G257" s="3"/>
      <c r="H257" s="4">
        <v>8500</v>
      </c>
      <c r="I257" s="4"/>
      <c r="N257" s="23"/>
      <c r="O257" s="24">
        <f>H257-J257</f>
        <v>8500</v>
      </c>
    </row>
    <row r="258" spans="1:15" x14ac:dyDescent="0.25">
      <c r="C258" s="2" t="s">
        <v>182</v>
      </c>
      <c r="D258" s="2">
        <v>1</v>
      </c>
      <c r="E258" s="2">
        <v>3500</v>
      </c>
      <c r="F258" s="2">
        <v>3500</v>
      </c>
      <c r="G258" s="3"/>
      <c r="I258" s="4"/>
      <c r="N258" s="23"/>
      <c r="O258" s="24">
        <f>H258-J258</f>
        <v>0</v>
      </c>
    </row>
    <row r="259" spans="1:15" x14ac:dyDescent="0.25">
      <c r="C259" s="2" t="s">
        <v>183</v>
      </c>
      <c r="D259" s="2">
        <v>1</v>
      </c>
      <c r="E259" s="2">
        <v>5000</v>
      </c>
      <c r="F259" s="2">
        <v>5000</v>
      </c>
      <c r="G259" s="3"/>
      <c r="I259" s="4"/>
      <c r="N259" s="23"/>
      <c r="O259" s="24">
        <f>H259-J259</f>
        <v>0</v>
      </c>
    </row>
    <row r="260" spans="1:15" x14ac:dyDescent="0.25">
      <c r="A260" s="2">
        <v>14194</v>
      </c>
      <c r="B260" s="2">
        <v>54490</v>
      </c>
      <c r="C260" s="2" t="s">
        <v>184</v>
      </c>
      <c r="G260" s="3"/>
      <c r="H260" s="4">
        <f>14350+1050</f>
        <v>15400</v>
      </c>
      <c r="I260" s="4"/>
      <c r="N260" s="23"/>
      <c r="O260" s="24">
        <f>H260-J260</f>
        <v>15400</v>
      </c>
    </row>
    <row r="261" spans="1:15" x14ac:dyDescent="0.25">
      <c r="C261" s="2" t="s">
        <v>185</v>
      </c>
      <c r="D261" s="2">
        <v>4</v>
      </c>
      <c r="E261" s="2">
        <v>250</v>
      </c>
      <c r="F261" s="2">
        <v>1000</v>
      </c>
      <c r="G261" s="3"/>
      <c r="I261" s="4"/>
      <c r="N261" s="23"/>
      <c r="O261" s="24">
        <f>H261-J261</f>
        <v>0</v>
      </c>
    </row>
    <row r="262" spans="1:15" x14ac:dyDescent="0.25">
      <c r="C262" s="2" t="s">
        <v>186</v>
      </c>
      <c r="D262" s="2">
        <v>1</v>
      </c>
      <c r="E262" s="2">
        <v>500</v>
      </c>
      <c r="F262" s="2">
        <v>500</v>
      </c>
      <c r="G262" s="3"/>
      <c r="I262" s="4"/>
      <c r="N262" s="23"/>
      <c r="O262" s="24">
        <f>H262-J262</f>
        <v>0</v>
      </c>
    </row>
    <row r="263" spans="1:15" x14ac:dyDescent="0.25">
      <c r="C263" s="2" t="s">
        <v>187</v>
      </c>
      <c r="D263" s="2">
        <v>1</v>
      </c>
      <c r="E263" s="2">
        <v>7250</v>
      </c>
      <c r="F263" s="2">
        <v>7250</v>
      </c>
      <c r="G263" s="3"/>
      <c r="I263" s="4"/>
      <c r="N263" s="23"/>
      <c r="O263" s="24">
        <f>H263-J263</f>
        <v>0</v>
      </c>
    </row>
    <row r="264" spans="1:15" x14ac:dyDescent="0.25">
      <c r="C264" s="2" t="s">
        <v>188</v>
      </c>
      <c r="D264" s="2">
        <v>2</v>
      </c>
      <c r="E264" s="2">
        <v>900</v>
      </c>
      <c r="F264" s="2">
        <v>1800</v>
      </c>
      <c r="G264" s="3"/>
      <c r="I264" s="4"/>
      <c r="N264" s="23"/>
      <c r="O264" s="24">
        <f>H264-J264</f>
        <v>0</v>
      </c>
    </row>
    <row r="265" spans="1:15" x14ac:dyDescent="0.25">
      <c r="C265" s="2" t="s">
        <v>189</v>
      </c>
      <c r="D265" s="2">
        <v>1</v>
      </c>
      <c r="E265" s="2">
        <v>2000</v>
      </c>
      <c r="F265" s="2">
        <v>2000</v>
      </c>
      <c r="G265" s="3"/>
      <c r="I265" s="4"/>
      <c r="N265" s="23"/>
      <c r="O265" s="24">
        <f>H265-J265</f>
        <v>0</v>
      </c>
    </row>
    <row r="266" spans="1:15" x14ac:dyDescent="0.25">
      <c r="C266" s="2" t="s">
        <v>190</v>
      </c>
      <c r="D266" s="2">
        <v>1</v>
      </c>
      <c r="E266" s="2">
        <v>1800</v>
      </c>
      <c r="F266" s="2">
        <v>1800</v>
      </c>
      <c r="G266" s="3"/>
      <c r="I266" s="4"/>
      <c r="N266" s="23"/>
      <c r="O266" s="24">
        <f>H266-J266</f>
        <v>0</v>
      </c>
    </row>
    <row r="267" spans="1:15" x14ac:dyDescent="0.25">
      <c r="C267" s="2" t="s">
        <v>191</v>
      </c>
      <c r="D267" s="2">
        <v>1</v>
      </c>
      <c r="E267" s="2">
        <v>1050</v>
      </c>
      <c r="F267" s="2">
        <v>1050</v>
      </c>
      <c r="G267" s="3"/>
      <c r="I267" s="4"/>
      <c r="N267" s="23"/>
      <c r="O267" s="24">
        <f>H267-J267</f>
        <v>0</v>
      </c>
    </row>
    <row r="268" spans="1:15" x14ac:dyDescent="0.25">
      <c r="A268" s="2">
        <v>14194</v>
      </c>
      <c r="B268" s="2">
        <v>54500</v>
      </c>
      <c r="C268" s="2" t="s">
        <v>192</v>
      </c>
      <c r="G268" s="3"/>
      <c r="H268" s="4">
        <v>6000</v>
      </c>
      <c r="I268" s="2">
        <f>[1]Expense!N164</f>
        <v>8000</v>
      </c>
      <c r="J268" s="4">
        <f>[1]Expense!I164</f>
        <v>6500</v>
      </c>
      <c r="K268" s="4">
        <f>[2]Expense!K145</f>
        <v>4024.89</v>
      </c>
      <c r="L268" s="4">
        <v>5393.26</v>
      </c>
      <c r="M268" s="4">
        <v>8784.07</v>
      </c>
      <c r="N268" s="23">
        <f>(H268-J268)/J268</f>
        <v>-7.6923076923076927E-2</v>
      </c>
      <c r="O268" s="24">
        <f>H268-J268</f>
        <v>-500</v>
      </c>
    </row>
    <row r="269" spans="1:15" x14ac:dyDescent="0.25">
      <c r="C269" s="2" t="s">
        <v>193</v>
      </c>
      <c r="G269" s="3"/>
      <c r="N269" s="23"/>
      <c r="O269" s="24">
        <f>H269-J269</f>
        <v>0</v>
      </c>
    </row>
    <row r="270" spans="1:15" x14ac:dyDescent="0.25">
      <c r="C270" s="2" t="s">
        <v>194</v>
      </c>
      <c r="G270" s="3"/>
      <c r="N270" s="23"/>
      <c r="O270" s="24">
        <f>H270-J270</f>
        <v>0</v>
      </c>
    </row>
    <row r="271" spans="1:15" x14ac:dyDescent="0.25">
      <c r="A271" s="2">
        <v>14194</v>
      </c>
      <c r="B271" s="2">
        <v>56100</v>
      </c>
      <c r="C271" s="2" t="s">
        <v>153</v>
      </c>
      <c r="G271" s="3"/>
      <c r="H271" s="4">
        <v>15500</v>
      </c>
      <c r="I271" s="4">
        <f>[1]Expense!N165</f>
        <v>7000</v>
      </c>
      <c r="J271" s="4">
        <f>[1]Expense!I165</f>
        <v>8000</v>
      </c>
      <c r="K271" s="4">
        <f>[2]Expense!K146</f>
        <v>7821.32</v>
      </c>
      <c r="L271" s="4">
        <v>6838.91</v>
      </c>
      <c r="M271" s="4">
        <v>6394.14</v>
      </c>
      <c r="N271" s="23">
        <f>(H271-J271)/J271</f>
        <v>0.9375</v>
      </c>
      <c r="O271" s="24">
        <f>H271-J271</f>
        <v>7500</v>
      </c>
    </row>
    <row r="272" spans="1:15" x14ac:dyDescent="0.25">
      <c r="C272" s="2" t="s">
        <v>195</v>
      </c>
      <c r="D272" s="2">
        <v>1</v>
      </c>
      <c r="E272" s="2">
        <v>9500</v>
      </c>
      <c r="F272" s="2">
        <v>9500</v>
      </c>
      <c r="G272" s="3"/>
      <c r="I272" s="4"/>
      <c r="N272" s="23"/>
      <c r="O272" s="24">
        <f>H272-J272</f>
        <v>0</v>
      </c>
    </row>
    <row r="273" spans="1:15" x14ac:dyDescent="0.25">
      <c r="C273" s="2" t="s">
        <v>196</v>
      </c>
      <c r="D273" s="2">
        <v>1</v>
      </c>
      <c r="E273" s="2">
        <v>6000</v>
      </c>
      <c r="F273" s="2">
        <v>6000</v>
      </c>
      <c r="G273" s="3"/>
      <c r="I273" s="4"/>
      <c r="N273" s="23"/>
      <c r="O273" s="24">
        <f>H273-J273</f>
        <v>0</v>
      </c>
    </row>
    <row r="274" spans="1:15" x14ac:dyDescent="0.25">
      <c r="A274" s="2">
        <v>14194</v>
      </c>
      <c r="B274" s="2">
        <v>56110</v>
      </c>
      <c r="C274" s="2" t="s">
        <v>197</v>
      </c>
      <c r="G274" s="3"/>
      <c r="I274" s="4">
        <f>[1]Expense!N166</f>
        <v>0</v>
      </c>
      <c r="J274" s="4">
        <f>[1]Expense!I166</f>
        <v>150</v>
      </c>
      <c r="K274" s="4">
        <f>[2]Expense!K147</f>
        <v>0</v>
      </c>
      <c r="L274" s="4">
        <v>0</v>
      </c>
      <c r="M274" s="4">
        <v>0</v>
      </c>
      <c r="N274" s="23">
        <f>(H274-J274)/J274</f>
        <v>-1</v>
      </c>
      <c r="O274" s="24">
        <f>H274-J274</f>
        <v>-150</v>
      </c>
    </row>
    <row r="275" spans="1:15" x14ac:dyDescent="0.25">
      <c r="A275" s="2">
        <v>14194</v>
      </c>
      <c r="B275" s="2">
        <v>56115</v>
      </c>
      <c r="C275" s="2" t="s">
        <v>198</v>
      </c>
      <c r="G275" s="3"/>
      <c r="H275" s="4">
        <v>750</v>
      </c>
      <c r="I275" s="4">
        <f>[1]Expense!N167</f>
        <v>589</v>
      </c>
      <c r="J275" s="4">
        <f>[1]Expense!I167</f>
        <v>250</v>
      </c>
      <c r="K275" s="4">
        <f>[2]Expense!K148</f>
        <v>54.38</v>
      </c>
      <c r="L275" s="4">
        <v>0</v>
      </c>
      <c r="M275" s="4">
        <v>0</v>
      </c>
      <c r="N275" s="23">
        <f>(H275-J275)/J275</f>
        <v>2</v>
      </c>
      <c r="O275" s="24">
        <f>H275-J275</f>
        <v>500</v>
      </c>
    </row>
    <row r="276" spans="1:15" x14ac:dyDescent="0.25">
      <c r="C276" s="2" t="s">
        <v>199</v>
      </c>
      <c r="G276" s="3"/>
      <c r="I276" s="4"/>
      <c r="N276" s="23"/>
      <c r="O276" s="24">
        <f>H276-J276</f>
        <v>0</v>
      </c>
    </row>
    <row r="277" spans="1:15" x14ac:dyDescent="0.25">
      <c r="A277" s="2">
        <v>14194</v>
      </c>
      <c r="B277" s="2">
        <v>56130</v>
      </c>
      <c r="C277" s="2" t="s">
        <v>22</v>
      </c>
      <c r="G277" s="3"/>
      <c r="H277" s="4">
        <v>500</v>
      </c>
      <c r="I277" s="4">
        <f>[1]Expense!N168</f>
        <v>200</v>
      </c>
      <c r="J277" s="4">
        <f>[1]Expense!I168</f>
        <v>200</v>
      </c>
      <c r="L277" s="4">
        <v>127.12</v>
      </c>
      <c r="M277" s="4">
        <v>137.61000000000001</v>
      </c>
      <c r="N277" s="23">
        <f>(H277-J277)/J277</f>
        <v>1.5</v>
      </c>
      <c r="O277" s="24">
        <f>H277-J277</f>
        <v>300</v>
      </c>
    </row>
    <row r="278" spans="1:15" x14ac:dyDescent="0.25">
      <c r="A278" s="2">
        <v>14194</v>
      </c>
      <c r="B278" s="2">
        <v>56350</v>
      </c>
      <c r="C278" s="2" t="s">
        <v>200</v>
      </c>
      <c r="G278" s="3"/>
      <c r="H278" s="4">
        <v>4500</v>
      </c>
      <c r="I278" s="4">
        <f>[1]Expense!N169</f>
        <v>0</v>
      </c>
      <c r="J278" s="4">
        <f>[1]Expense!I169</f>
        <v>0</v>
      </c>
      <c r="N278" s="23"/>
      <c r="O278" s="24">
        <f>H278-J278</f>
        <v>4500</v>
      </c>
    </row>
    <row r="279" spans="1:15" x14ac:dyDescent="0.25">
      <c r="C279" s="2" t="s">
        <v>201</v>
      </c>
      <c r="D279" s="2">
        <v>1</v>
      </c>
      <c r="E279" s="2">
        <v>2000</v>
      </c>
      <c r="F279" s="2">
        <v>2000</v>
      </c>
      <c r="G279" s="3"/>
      <c r="I279" s="4"/>
      <c r="N279" s="23"/>
      <c r="O279" s="24">
        <f>H279-J279</f>
        <v>0</v>
      </c>
    </row>
    <row r="280" spans="1:15" x14ac:dyDescent="0.25">
      <c r="C280" s="2" t="s">
        <v>202</v>
      </c>
      <c r="D280" s="2">
        <v>1</v>
      </c>
      <c r="E280" s="2">
        <v>2500</v>
      </c>
      <c r="F280" s="2">
        <v>2500</v>
      </c>
      <c r="G280" s="3"/>
      <c r="I280" s="4"/>
      <c r="N280" s="23"/>
      <c r="O280" s="24">
        <f>H280-J280</f>
        <v>0</v>
      </c>
    </row>
    <row r="281" spans="1:15" x14ac:dyDescent="0.25">
      <c r="A281" s="2">
        <v>14194</v>
      </c>
      <c r="B281" s="2">
        <v>56600</v>
      </c>
      <c r="C281" s="2" t="s">
        <v>203</v>
      </c>
      <c r="G281" s="3"/>
      <c r="H281" s="4">
        <v>6000</v>
      </c>
      <c r="I281" s="4">
        <f>[1]Expense!N170</f>
        <v>1200</v>
      </c>
      <c r="J281" s="4">
        <f>[1]Expense!I170</f>
        <v>3000</v>
      </c>
      <c r="K281" s="4">
        <f>[2]Expense!K149</f>
        <v>3183.61</v>
      </c>
      <c r="L281" s="4">
        <v>2600.6</v>
      </c>
      <c r="M281" s="4">
        <v>2997.07</v>
      </c>
      <c r="N281" s="23">
        <f>(H281-J281)/J281</f>
        <v>1</v>
      </c>
      <c r="O281" s="24">
        <f>H281-J281</f>
        <v>3000</v>
      </c>
    </row>
    <row r="282" spans="1:15" x14ac:dyDescent="0.25">
      <c r="C282" s="2" t="s">
        <v>204</v>
      </c>
      <c r="G282" s="3"/>
      <c r="I282" s="4"/>
      <c r="N282" s="23"/>
      <c r="O282" s="24">
        <f>H282-J282</f>
        <v>0</v>
      </c>
    </row>
    <row r="283" spans="1:15" x14ac:dyDescent="0.25">
      <c r="A283" s="2">
        <v>14194</v>
      </c>
      <c r="B283" s="2">
        <v>56680</v>
      </c>
      <c r="C283" s="2" t="s">
        <v>59</v>
      </c>
      <c r="G283" s="3"/>
      <c r="I283" s="4">
        <f>[1]Expense!N171</f>
        <v>2243</v>
      </c>
      <c r="J283" s="4">
        <f>[1]Expense!I171</f>
        <v>0</v>
      </c>
      <c r="K283" s="4">
        <f>[2]Expense!K150</f>
        <v>2229.83</v>
      </c>
      <c r="L283" s="4">
        <v>5700</v>
      </c>
      <c r="M283" s="4">
        <v>0</v>
      </c>
      <c r="N283" s="23"/>
      <c r="O283" s="24">
        <f>H283-J283</f>
        <v>0</v>
      </c>
    </row>
    <row r="284" spans="1:15" x14ac:dyDescent="0.25">
      <c r="C284" s="2" t="s">
        <v>205</v>
      </c>
      <c r="D284" s="2">
        <v>2</v>
      </c>
      <c r="E284" s="2">
        <v>750</v>
      </c>
      <c r="F284" s="2">
        <v>1500</v>
      </c>
      <c r="H284" s="2">
        <v>1500</v>
      </c>
      <c r="I284" s="4"/>
      <c r="N284" s="23"/>
      <c r="O284" s="24">
        <f>H284-J284</f>
        <v>1500</v>
      </c>
    </row>
    <row r="285" spans="1:15" x14ac:dyDescent="0.25">
      <c r="C285" s="2" t="s">
        <v>206</v>
      </c>
      <c r="D285" s="2">
        <v>1</v>
      </c>
      <c r="E285" s="2">
        <v>5600</v>
      </c>
      <c r="F285" s="2">
        <v>5600</v>
      </c>
      <c r="H285" s="2">
        <v>5600</v>
      </c>
      <c r="I285" s="4"/>
      <c r="N285" s="23"/>
      <c r="O285" s="24">
        <f>H285-J285</f>
        <v>5600</v>
      </c>
    </row>
    <row r="286" spans="1:15" x14ac:dyDescent="0.25">
      <c r="C286" s="2" t="s">
        <v>207</v>
      </c>
      <c r="D286" s="2">
        <v>1</v>
      </c>
      <c r="E286" s="2">
        <v>3000</v>
      </c>
      <c r="F286" s="2">
        <v>3000</v>
      </c>
      <c r="G286" s="3"/>
      <c r="H286" s="3">
        <v>3000</v>
      </c>
      <c r="I286" s="4"/>
      <c r="N286" s="23"/>
      <c r="O286" s="24">
        <f>H286-J286</f>
        <v>3000</v>
      </c>
    </row>
    <row r="287" spans="1:15" x14ac:dyDescent="0.25">
      <c r="C287" s="2" t="s">
        <v>208</v>
      </c>
      <c r="D287" s="2">
        <v>25</v>
      </c>
      <c r="E287" s="2">
        <v>332</v>
      </c>
      <c r="F287" s="2">
        <f>D287*E287</f>
        <v>8300</v>
      </c>
      <c r="G287" s="3"/>
      <c r="H287" s="3">
        <v>0</v>
      </c>
      <c r="I287" s="4"/>
      <c r="N287" s="23"/>
      <c r="O287" s="24">
        <f>H287-J287</f>
        <v>0</v>
      </c>
    </row>
    <row r="288" spans="1:15" x14ac:dyDescent="0.25">
      <c r="A288" s="2">
        <v>14194</v>
      </c>
      <c r="B288" s="2">
        <v>57200</v>
      </c>
      <c r="C288" s="2" t="s">
        <v>209</v>
      </c>
      <c r="G288" s="3"/>
      <c r="I288" s="4">
        <f>[1]Expense!N172</f>
        <v>28000</v>
      </c>
      <c r="J288" s="4">
        <f>[1]Expense!I172</f>
        <v>44421.520000000004</v>
      </c>
      <c r="K288" s="4">
        <f>[2]Expense!K151</f>
        <v>22164</v>
      </c>
      <c r="L288" s="4">
        <v>48345.98</v>
      </c>
      <c r="M288" s="4">
        <v>91386.13</v>
      </c>
      <c r="N288" s="23">
        <f>(H288-J288)/J288</f>
        <v>-1</v>
      </c>
      <c r="O288" s="24">
        <f>H288-J288</f>
        <v>-44421.520000000004</v>
      </c>
    </row>
    <row r="289" spans="1:15" x14ac:dyDescent="0.25">
      <c r="C289" s="2" t="s">
        <v>210</v>
      </c>
      <c r="D289" s="2">
        <v>1</v>
      </c>
      <c r="E289" s="2">
        <v>15000</v>
      </c>
      <c r="F289" s="2">
        <v>15000</v>
      </c>
      <c r="G289" s="3"/>
      <c r="H289" s="3">
        <v>15000</v>
      </c>
      <c r="I289" s="4"/>
      <c r="N289" s="23"/>
      <c r="O289" s="24">
        <f>H289-J289</f>
        <v>15000</v>
      </c>
    </row>
    <row r="290" spans="1:15" x14ac:dyDescent="0.25">
      <c r="C290" s="2" t="s">
        <v>211</v>
      </c>
      <c r="G290" s="3"/>
      <c r="I290" s="4"/>
      <c r="N290" s="23"/>
      <c r="O290" s="24">
        <f>H290-J290</f>
        <v>0</v>
      </c>
    </row>
    <row r="291" spans="1:15" x14ac:dyDescent="0.25">
      <c r="C291" s="2" t="s">
        <v>212</v>
      </c>
      <c r="G291" s="3"/>
      <c r="I291" s="4"/>
      <c r="N291" s="23"/>
      <c r="O291" s="24">
        <f>H291-J291</f>
        <v>0</v>
      </c>
    </row>
    <row r="292" spans="1:15" x14ac:dyDescent="0.25">
      <c r="C292" s="2" t="s">
        <v>213</v>
      </c>
      <c r="D292" s="2">
        <v>1</v>
      </c>
      <c r="E292" s="2">
        <v>5000</v>
      </c>
      <c r="F292" s="2">
        <v>5000</v>
      </c>
      <c r="G292" s="3"/>
      <c r="H292" s="3">
        <v>0</v>
      </c>
      <c r="I292" s="4"/>
      <c r="N292" s="23"/>
      <c r="O292" s="24">
        <f>H292-J292</f>
        <v>0</v>
      </c>
    </row>
    <row r="293" spans="1:15" x14ac:dyDescent="0.25">
      <c r="C293" s="2" t="s">
        <v>214</v>
      </c>
      <c r="D293" s="2">
        <v>1</v>
      </c>
      <c r="E293" s="2">
        <v>12000</v>
      </c>
      <c r="F293" s="2">
        <v>12000</v>
      </c>
      <c r="G293" s="3"/>
      <c r="H293" s="3">
        <v>0</v>
      </c>
      <c r="I293" s="4"/>
      <c r="N293" s="23"/>
      <c r="O293" s="24">
        <f>H293-J293</f>
        <v>0</v>
      </c>
    </row>
    <row r="294" spans="1:15" x14ac:dyDescent="0.25">
      <c r="C294" s="2" t="s">
        <v>215</v>
      </c>
      <c r="D294" s="2">
        <v>1</v>
      </c>
      <c r="E294" s="2">
        <v>20000</v>
      </c>
      <c r="F294" s="2">
        <v>20000</v>
      </c>
      <c r="G294" s="3"/>
      <c r="H294" s="3">
        <v>20000</v>
      </c>
      <c r="I294" s="4"/>
      <c r="N294" s="23"/>
      <c r="O294" s="24">
        <f>H294-J294</f>
        <v>20000</v>
      </c>
    </row>
    <row r="295" spans="1:15" x14ac:dyDescent="0.25">
      <c r="C295" s="2" t="s">
        <v>216</v>
      </c>
      <c r="G295" s="3"/>
      <c r="I295" s="4"/>
      <c r="N295" s="23"/>
      <c r="O295" s="24">
        <f>H295-J295</f>
        <v>0</v>
      </c>
    </row>
    <row r="296" spans="1:15" x14ac:dyDescent="0.25">
      <c r="C296" s="2" t="s">
        <v>217</v>
      </c>
      <c r="D296" s="2">
        <v>0.5</v>
      </c>
      <c r="E296" s="2">
        <v>18000</v>
      </c>
      <c r="F296" s="2">
        <v>9000</v>
      </c>
      <c r="G296" s="3"/>
      <c r="H296" s="3">
        <v>9000</v>
      </c>
      <c r="I296" s="4"/>
      <c r="N296" s="23"/>
      <c r="O296" s="24">
        <f>H296-J296</f>
        <v>9000</v>
      </c>
    </row>
    <row r="297" spans="1:15" x14ac:dyDescent="0.25">
      <c r="C297" s="2" t="s">
        <v>218</v>
      </c>
      <c r="G297" s="3"/>
      <c r="I297" s="4"/>
      <c r="N297" s="23"/>
      <c r="O297" s="24">
        <f>H297-J297</f>
        <v>0</v>
      </c>
    </row>
    <row r="298" spans="1:15" x14ac:dyDescent="0.25">
      <c r="C298" s="2" t="s">
        <v>219</v>
      </c>
      <c r="G298" s="3"/>
      <c r="I298" s="4"/>
      <c r="N298" s="23"/>
      <c r="O298" s="24">
        <f>H298-J298</f>
        <v>0</v>
      </c>
    </row>
    <row r="299" spans="1:15" x14ac:dyDescent="0.25">
      <c r="C299" s="2" t="s">
        <v>220</v>
      </c>
      <c r="D299" s="2">
        <v>1</v>
      </c>
      <c r="E299" s="2">
        <v>2500</v>
      </c>
      <c r="F299" s="2">
        <v>2500</v>
      </c>
      <c r="G299" s="3"/>
      <c r="H299" s="3">
        <v>0</v>
      </c>
      <c r="I299" s="4"/>
      <c r="N299" s="23"/>
      <c r="O299" s="24">
        <f>H299-J299</f>
        <v>0</v>
      </c>
    </row>
    <row r="300" spans="1:15" x14ac:dyDescent="0.25">
      <c r="C300" s="2" t="s">
        <v>221</v>
      </c>
      <c r="D300" s="2">
        <v>1</v>
      </c>
      <c r="E300" s="2">
        <v>25000</v>
      </c>
      <c r="F300" s="2">
        <v>25000</v>
      </c>
      <c r="G300" s="3"/>
      <c r="H300" s="3">
        <v>0</v>
      </c>
      <c r="I300" s="4"/>
      <c r="N300" s="23"/>
      <c r="O300" s="24">
        <f>H300-J300</f>
        <v>0</v>
      </c>
    </row>
    <row r="301" spans="1:15" x14ac:dyDescent="0.25">
      <c r="C301" s="2" t="s">
        <v>222</v>
      </c>
      <c r="G301" s="3"/>
      <c r="I301" s="4"/>
      <c r="N301" s="23"/>
      <c r="O301" s="24">
        <f>H301-J301</f>
        <v>0</v>
      </c>
    </row>
    <row r="302" spans="1:15" x14ac:dyDescent="0.25">
      <c r="C302" s="2" t="s">
        <v>223</v>
      </c>
      <c r="G302" s="3"/>
      <c r="I302" s="4"/>
      <c r="N302" s="23"/>
      <c r="O302" s="24">
        <f>H302-J302</f>
        <v>0</v>
      </c>
    </row>
    <row r="303" spans="1:15" x14ac:dyDescent="0.25">
      <c r="A303" s="2">
        <v>14194</v>
      </c>
      <c r="B303" s="2">
        <v>57300</v>
      </c>
      <c r="C303" s="2" t="s">
        <v>224</v>
      </c>
      <c r="G303" s="3"/>
      <c r="H303" s="4">
        <f>SUM(F304:F309)</f>
        <v>33100</v>
      </c>
      <c r="I303" s="4">
        <f>[1]Expense!N173</f>
        <v>13410</v>
      </c>
      <c r="J303" s="4">
        <f>[1]Expense!I173</f>
        <v>11575</v>
      </c>
      <c r="K303" s="4">
        <f>[2]Expense!K152</f>
        <v>500</v>
      </c>
      <c r="L303" s="4">
        <v>11168</v>
      </c>
      <c r="M303" s="4">
        <v>0</v>
      </c>
      <c r="N303" s="23">
        <f>(H303-J303)/J303</f>
        <v>1.8596112311015118</v>
      </c>
      <c r="O303" s="24">
        <f>H303-J303</f>
        <v>21525</v>
      </c>
    </row>
    <row r="304" spans="1:15" x14ac:dyDescent="0.25">
      <c r="C304" s="2" t="s">
        <v>225</v>
      </c>
      <c r="D304" s="2">
        <v>2</v>
      </c>
      <c r="E304" s="2">
        <v>2800</v>
      </c>
      <c r="F304" s="2">
        <f>D304*E304</f>
        <v>5600</v>
      </c>
      <c r="G304" s="3"/>
      <c r="I304" s="4"/>
      <c r="N304" s="23"/>
      <c r="O304" s="24">
        <f>H304-J304</f>
        <v>0</v>
      </c>
    </row>
    <row r="305" spans="1:15" x14ac:dyDescent="0.25">
      <c r="C305" s="2" t="s">
        <v>226</v>
      </c>
      <c r="G305" s="3"/>
      <c r="I305" s="4"/>
      <c r="N305" s="23"/>
      <c r="O305" s="24">
        <f>H305-J305</f>
        <v>0</v>
      </c>
    </row>
    <row r="306" spans="1:15" x14ac:dyDescent="0.25">
      <c r="C306" s="2" t="s">
        <v>227</v>
      </c>
      <c r="G306" s="3"/>
      <c r="I306" s="4"/>
      <c r="N306" s="23"/>
      <c r="O306" s="24">
        <f>H306-J306</f>
        <v>0</v>
      </c>
    </row>
    <row r="307" spans="1:15" x14ac:dyDescent="0.25">
      <c r="C307" s="2" t="s">
        <v>228</v>
      </c>
      <c r="D307" s="2">
        <v>1</v>
      </c>
      <c r="E307" s="2">
        <v>2500</v>
      </c>
      <c r="F307" s="2">
        <v>2500</v>
      </c>
      <c r="G307" s="3"/>
      <c r="I307" s="4"/>
      <c r="N307" s="23"/>
      <c r="O307" s="24">
        <f>H307-J307</f>
        <v>0</v>
      </c>
    </row>
    <row r="308" spans="1:15" x14ac:dyDescent="0.25">
      <c r="C308" s="2" t="s">
        <v>229</v>
      </c>
      <c r="G308" s="3"/>
      <c r="I308" s="4"/>
      <c r="N308" s="23"/>
      <c r="O308" s="24">
        <f>H308-J308</f>
        <v>0</v>
      </c>
    </row>
    <row r="309" spans="1:15" x14ac:dyDescent="0.25">
      <c r="C309" s="2" t="s">
        <v>230</v>
      </c>
      <c r="D309" s="2">
        <v>1</v>
      </c>
      <c r="E309" s="2">
        <v>25000</v>
      </c>
      <c r="F309" s="2">
        <v>25000</v>
      </c>
      <c r="G309" s="3"/>
      <c r="I309" s="4"/>
      <c r="N309" s="23"/>
      <c r="O309" s="24">
        <f>H309-J309</f>
        <v>0</v>
      </c>
    </row>
    <row r="310" spans="1:15" x14ac:dyDescent="0.25">
      <c r="C310" s="2" t="s">
        <v>231</v>
      </c>
      <c r="G310" s="3"/>
      <c r="I310" s="4"/>
      <c r="N310" s="23"/>
      <c r="O310" s="24">
        <f>H310-J310</f>
        <v>0</v>
      </c>
    </row>
    <row r="311" spans="1:15" s="5" customFormat="1" x14ac:dyDescent="0.25">
      <c r="A311" s="5" t="s">
        <v>23</v>
      </c>
      <c r="B311" s="5" t="s">
        <v>232</v>
      </c>
      <c r="G311" s="21">
        <f t="shared" ref="G311:M311" si="6">SUM(G219:G303)</f>
        <v>0</v>
      </c>
      <c r="H311" s="22">
        <f>SUM(H219:H310)</f>
        <v>1038945</v>
      </c>
      <c r="I311" s="22">
        <f t="shared" si="6"/>
        <v>878325</v>
      </c>
      <c r="J311" s="22">
        <f t="shared" si="6"/>
        <v>920521.82000000007</v>
      </c>
      <c r="K311" s="22">
        <f t="shared" si="6"/>
        <v>669935.5</v>
      </c>
      <c r="L311" s="22">
        <f t="shared" si="6"/>
        <v>747377.49</v>
      </c>
      <c r="M311" s="22">
        <f t="shared" si="6"/>
        <v>721433.95</v>
      </c>
      <c r="N311" s="25">
        <f>(H311-J311)/J311</f>
        <v>0.12864787930828184</v>
      </c>
      <c r="O311" s="26">
        <f>H311-J311</f>
        <v>118423.17999999993</v>
      </c>
    </row>
    <row r="312" spans="1:15" x14ac:dyDescent="0.25">
      <c r="N312" s="23"/>
      <c r="O312" s="24">
        <f>H312-J312</f>
        <v>0</v>
      </c>
    </row>
    <row r="313" spans="1:15" x14ac:dyDescent="0.25">
      <c r="A313" s="2">
        <v>14198</v>
      </c>
      <c r="B313" s="2" t="s">
        <v>233</v>
      </c>
      <c r="N313" s="23"/>
      <c r="O313" s="24">
        <f>H313-J313</f>
        <v>0</v>
      </c>
    </row>
    <row r="314" spans="1:15" x14ac:dyDescent="0.25">
      <c r="A314" s="2">
        <v>14198</v>
      </c>
      <c r="B314" s="2">
        <v>59900</v>
      </c>
      <c r="C314" s="2" t="s">
        <v>234</v>
      </c>
      <c r="G314" s="3"/>
      <c r="H314" s="3">
        <v>450000</v>
      </c>
      <c r="I314" s="4">
        <v>15000</v>
      </c>
      <c r="J314" s="4">
        <f>[1]Expense!$I$177</f>
        <v>103602</v>
      </c>
      <c r="K314" s="4">
        <f>[2]Expense!$K$154</f>
        <v>0</v>
      </c>
      <c r="L314" s="4">
        <v>0</v>
      </c>
      <c r="M314" s="4">
        <v>0</v>
      </c>
      <c r="N314" s="23">
        <f>(H314-J314)/J314</f>
        <v>3.3435454913997797</v>
      </c>
      <c r="O314" s="24">
        <f>H314-J314</f>
        <v>346398</v>
      </c>
    </row>
    <row r="315" spans="1:15" s="5" customFormat="1" x14ac:dyDescent="0.25">
      <c r="A315" s="5" t="s">
        <v>23</v>
      </c>
      <c r="B315" s="5" t="s">
        <v>235</v>
      </c>
      <c r="G315" s="21">
        <f t="shared" ref="G315:M315" si="7">SUM(G314)</f>
        <v>0</v>
      </c>
      <c r="H315" s="21">
        <f t="shared" si="7"/>
        <v>450000</v>
      </c>
      <c r="I315" s="22">
        <f t="shared" si="7"/>
        <v>15000</v>
      </c>
      <c r="J315" s="22">
        <f t="shared" si="7"/>
        <v>103602</v>
      </c>
      <c r="K315" s="22">
        <f t="shared" si="7"/>
        <v>0</v>
      </c>
      <c r="L315" s="22">
        <f t="shared" si="7"/>
        <v>0</v>
      </c>
      <c r="M315" s="22">
        <f t="shared" si="7"/>
        <v>0</v>
      </c>
      <c r="N315" s="25">
        <f>(H315-J315)/J315</f>
        <v>3.3435454913997797</v>
      </c>
      <c r="O315" s="26">
        <f>H315-J315</f>
        <v>346398</v>
      </c>
    </row>
    <row r="316" spans="1:15" x14ac:dyDescent="0.25">
      <c r="I316" s="5"/>
      <c r="K316" s="22"/>
      <c r="N316" s="23"/>
      <c r="O316" s="24">
        <f>H316-J316</f>
        <v>0</v>
      </c>
    </row>
    <row r="317" spans="1:15" s="5" customFormat="1" x14ac:dyDescent="0.25">
      <c r="A317" s="5">
        <v>14211</v>
      </c>
      <c r="B317" s="5" t="s">
        <v>236</v>
      </c>
      <c r="H317" s="22"/>
      <c r="I317" s="2"/>
      <c r="J317" s="4"/>
      <c r="K317" s="4"/>
      <c r="L317" s="22"/>
      <c r="M317" s="22"/>
      <c r="N317" s="23"/>
      <c r="O317" s="24">
        <f>H317-J317</f>
        <v>0</v>
      </c>
    </row>
    <row r="318" spans="1:15" x14ac:dyDescent="0.25">
      <c r="A318" s="2">
        <v>14211</v>
      </c>
      <c r="B318" s="2">
        <v>51120</v>
      </c>
      <c r="C318" s="2" t="s">
        <v>237</v>
      </c>
      <c r="G318" s="3"/>
      <c r="H318" s="4">
        <v>685000</v>
      </c>
      <c r="I318" s="4">
        <f>[1]Expense!N181</f>
        <v>666000</v>
      </c>
      <c r="J318" s="4">
        <f>[1]Expense!I181</f>
        <v>742270</v>
      </c>
      <c r="K318" s="4">
        <f>[2]Expense!K160</f>
        <v>597920.17000000004</v>
      </c>
      <c r="L318" s="4">
        <v>601624.86</v>
      </c>
      <c r="M318" s="4">
        <v>632272.78</v>
      </c>
      <c r="N318" s="23">
        <f>(H318-J318)/J318</f>
        <v>-7.7155213062632191E-2</v>
      </c>
      <c r="O318" s="24">
        <f>H318-J318</f>
        <v>-57270</v>
      </c>
    </row>
    <row r="319" spans="1:15" x14ac:dyDescent="0.25">
      <c r="A319" s="2">
        <v>14211</v>
      </c>
      <c r="B319" s="2">
        <v>51122</v>
      </c>
      <c r="C319" s="2" t="s">
        <v>238</v>
      </c>
      <c r="G319" s="3"/>
      <c r="H319" s="4">
        <v>464000</v>
      </c>
      <c r="I319" s="4">
        <f>[1]Expense!N182</f>
        <v>404000</v>
      </c>
      <c r="J319" s="4">
        <f>[1]Expense!I182</f>
        <v>506800</v>
      </c>
      <c r="K319" s="4">
        <f>[2]Expense!K161</f>
        <v>344321.6</v>
      </c>
      <c r="L319" s="4">
        <v>355458.35</v>
      </c>
      <c r="M319" s="4">
        <v>334853.03999999998</v>
      </c>
      <c r="N319" s="23">
        <f>(H319-J319)/J319</f>
        <v>-8.4451460142067877E-2</v>
      </c>
      <c r="O319" s="24">
        <f>H319-J319</f>
        <v>-42800</v>
      </c>
    </row>
    <row r="320" spans="1:15" x14ac:dyDescent="0.25">
      <c r="A320" s="2">
        <v>14211</v>
      </c>
      <c r="B320" s="2">
        <v>51220</v>
      </c>
      <c r="C320" s="2" t="s">
        <v>239</v>
      </c>
      <c r="G320" s="3"/>
      <c r="H320" s="4">
        <v>89000</v>
      </c>
      <c r="I320" s="4">
        <f>[1]Expense!N183</f>
        <v>45000</v>
      </c>
      <c r="J320" s="4">
        <f>[1]Expense!I183</f>
        <v>90600</v>
      </c>
      <c r="K320" s="4">
        <f>[2]Expense!K162</f>
        <v>63618.81</v>
      </c>
      <c r="L320" s="4">
        <v>52110.63</v>
      </c>
      <c r="M320" s="4">
        <v>67968.740000000005</v>
      </c>
      <c r="N320" s="23">
        <f>(H320-J320)/J320</f>
        <v>-1.7660044150110375E-2</v>
      </c>
      <c r="O320" s="24">
        <f>H320-J320</f>
        <v>-1600</v>
      </c>
    </row>
    <row r="321" spans="1:15" x14ac:dyDescent="0.25">
      <c r="A321" s="2">
        <v>14211</v>
      </c>
      <c r="B321" s="2">
        <v>51222</v>
      </c>
      <c r="C321" s="2" t="s">
        <v>240</v>
      </c>
      <c r="G321" s="3"/>
      <c r="H321" s="4">
        <v>10000</v>
      </c>
      <c r="I321" s="4">
        <f>[1]Expense!N184</f>
        <v>10000</v>
      </c>
      <c r="J321" s="4">
        <f>[1]Expense!I184</f>
        <v>16000</v>
      </c>
      <c r="K321" s="4">
        <f>[2]Expense!K163</f>
        <v>13960.96</v>
      </c>
      <c r="L321" s="4">
        <v>9935.2000000000007</v>
      </c>
      <c r="M321" s="4">
        <v>19763.009999999998</v>
      </c>
      <c r="N321" s="23">
        <f>(H321-J321)/J321</f>
        <v>-0.375</v>
      </c>
      <c r="O321" s="24">
        <f>H321-J321</f>
        <v>-6000</v>
      </c>
    </row>
    <row r="322" spans="1:15" x14ac:dyDescent="0.25">
      <c r="A322" s="2">
        <v>14211</v>
      </c>
      <c r="B322" s="2">
        <v>51224</v>
      </c>
      <c r="C322" s="2" t="s">
        <v>241</v>
      </c>
      <c r="G322" s="3"/>
      <c r="H322" s="4">
        <v>444860</v>
      </c>
      <c r="I322" s="4">
        <f>[1]Expense!N185</f>
        <v>375930</v>
      </c>
      <c r="J322" s="4">
        <f>[1]Expense!I185</f>
        <v>361930</v>
      </c>
      <c r="K322" s="4">
        <f>[2]Expense!K164</f>
        <v>269324.42</v>
      </c>
      <c r="L322" s="4">
        <v>196585.91</v>
      </c>
      <c r="M322" s="4">
        <v>180813.9</v>
      </c>
      <c r="N322" s="23">
        <f>(H322-J322)/J322</f>
        <v>0.22913270521924128</v>
      </c>
      <c r="O322" s="24">
        <f>H322-J322</f>
        <v>82930</v>
      </c>
    </row>
    <row r="323" spans="1:15" x14ac:dyDescent="0.25">
      <c r="A323" s="2">
        <v>14211</v>
      </c>
      <c r="B323" s="2">
        <v>51300</v>
      </c>
      <c r="C323" s="2" t="s">
        <v>28</v>
      </c>
      <c r="G323" s="3"/>
      <c r="H323" s="4">
        <v>81735</v>
      </c>
      <c r="I323" s="4">
        <f>[1]Expense!N186</f>
        <v>81735</v>
      </c>
      <c r="J323" s="4">
        <f>[1]Expense!I186</f>
        <v>81735</v>
      </c>
      <c r="K323" s="4">
        <f>[2]Expense!K165</f>
        <v>74304</v>
      </c>
      <c r="L323" s="4">
        <v>74304</v>
      </c>
      <c r="M323" s="4">
        <v>74304</v>
      </c>
      <c r="N323" s="23">
        <f>(H323-J323)/J323</f>
        <v>0</v>
      </c>
      <c r="O323" s="24">
        <f>H323-J323</f>
        <v>0</v>
      </c>
    </row>
    <row r="324" spans="1:15" x14ac:dyDescent="0.25">
      <c r="A324" s="2">
        <v>14211</v>
      </c>
      <c r="B324" s="2">
        <v>51405</v>
      </c>
      <c r="C324" s="2" t="s">
        <v>242</v>
      </c>
      <c r="G324" s="3"/>
      <c r="H324" s="4">
        <v>47500</v>
      </c>
      <c r="I324" s="4">
        <f>[1]Expense!N187</f>
        <v>45000</v>
      </c>
      <c r="J324" s="4">
        <f>[1]Expense!I187</f>
        <v>47500</v>
      </c>
      <c r="K324" s="4">
        <f>[2]Expense!K166</f>
        <v>35400</v>
      </c>
      <c r="L324" s="4">
        <v>48151.98</v>
      </c>
      <c r="M324" s="4">
        <v>10276</v>
      </c>
      <c r="N324" s="23">
        <f>(H324-J324)/J324</f>
        <v>0</v>
      </c>
      <c r="O324" s="24">
        <f>H324-J324</f>
        <v>0</v>
      </c>
    </row>
    <row r="325" spans="1:15" x14ac:dyDescent="0.25">
      <c r="A325" s="2">
        <v>14211</v>
      </c>
      <c r="B325" s="2">
        <v>51420</v>
      </c>
      <c r="C325" s="2" t="s">
        <v>29</v>
      </c>
      <c r="G325" s="3"/>
      <c r="H325" s="4">
        <v>18000</v>
      </c>
      <c r="I325" s="4">
        <f>[1]Expense!N188</f>
        <v>24000</v>
      </c>
      <c r="J325" s="4">
        <f>[1]Expense!I188</f>
        <v>18000</v>
      </c>
      <c r="K325" s="4">
        <f>[2]Expense!K167</f>
        <v>19032.45</v>
      </c>
      <c r="L325" s="4">
        <v>27963.34</v>
      </c>
      <c r="M325" s="4">
        <v>33625.35</v>
      </c>
      <c r="N325" s="23">
        <f>(H325-J325)/J325</f>
        <v>0</v>
      </c>
      <c r="O325" s="24">
        <f>H325-J325</f>
        <v>0</v>
      </c>
    </row>
    <row r="326" spans="1:15" x14ac:dyDescent="0.25">
      <c r="A326" s="2">
        <v>14211</v>
      </c>
      <c r="B326" s="2">
        <v>51421</v>
      </c>
      <c r="C326" s="2" t="s">
        <v>243</v>
      </c>
      <c r="G326" s="3"/>
      <c r="H326" s="4">
        <v>8000</v>
      </c>
      <c r="I326" s="4">
        <f>[1]Expense!N189</f>
        <v>0</v>
      </c>
      <c r="J326" s="4">
        <f>[1]Expense!I189</f>
        <v>0</v>
      </c>
      <c r="K326" s="4">
        <f>[2]Expense!K168</f>
        <v>524.52</v>
      </c>
      <c r="N326" s="23"/>
      <c r="O326" s="24">
        <f>H326-J326</f>
        <v>8000</v>
      </c>
    </row>
    <row r="327" spans="1:15" x14ac:dyDescent="0.25">
      <c r="A327" s="2">
        <v>14211</v>
      </c>
      <c r="B327" s="2">
        <v>51422</v>
      </c>
      <c r="C327" s="2" t="s">
        <v>244</v>
      </c>
      <c r="G327" s="3"/>
      <c r="H327" s="4">
        <v>27000</v>
      </c>
      <c r="I327" s="4">
        <f>[1]Expense!N190</f>
        <v>46000</v>
      </c>
      <c r="J327" s="4">
        <f>[1]Expense!I190</f>
        <v>27000</v>
      </c>
      <c r="K327" s="4">
        <f>[2]Expense!K169</f>
        <v>54116.57</v>
      </c>
      <c r="L327" s="4">
        <v>33766.69</v>
      </c>
      <c r="M327" s="4">
        <v>22527.9</v>
      </c>
      <c r="N327" s="23">
        <f>(H327-J327)/J327</f>
        <v>0</v>
      </c>
      <c r="O327" s="24">
        <f>H327-J327</f>
        <v>0</v>
      </c>
    </row>
    <row r="328" spans="1:15" x14ac:dyDescent="0.25">
      <c r="A328" s="2">
        <v>14211</v>
      </c>
      <c r="B328" s="2">
        <v>51500</v>
      </c>
      <c r="C328" s="2" t="s">
        <v>245</v>
      </c>
      <c r="G328" s="3"/>
      <c r="H328" s="4">
        <v>24500</v>
      </c>
      <c r="I328" s="4">
        <f>[1]Expense!N191</f>
        <v>15800</v>
      </c>
      <c r="J328" s="4">
        <f>[1]Expense!I191</f>
        <v>18500</v>
      </c>
      <c r="K328" s="4">
        <f>[2]Expense!K170</f>
        <v>18557.599999999999</v>
      </c>
      <c r="L328" s="4">
        <v>21750.080000000002</v>
      </c>
      <c r="M328" s="4">
        <v>30018.87</v>
      </c>
      <c r="N328" s="23">
        <f>(H328-J328)/J328</f>
        <v>0.32432432432432434</v>
      </c>
      <c r="O328" s="24">
        <f>H328-J328</f>
        <v>6000</v>
      </c>
    </row>
    <row r="329" spans="1:15" x14ac:dyDescent="0.25">
      <c r="A329" s="2">
        <v>14211</v>
      </c>
      <c r="B329" s="2">
        <v>51510</v>
      </c>
      <c r="C329" s="2" t="s">
        <v>31</v>
      </c>
      <c r="G329" s="3"/>
      <c r="H329" s="4"/>
      <c r="I329" s="4">
        <f>[1]Expense!N192</f>
        <v>3737.11</v>
      </c>
      <c r="J329" s="4">
        <f>[1]Expense!I192</f>
        <v>6000</v>
      </c>
      <c r="K329" s="4">
        <f>[2]Expense!K171</f>
        <v>4251.6000000000004</v>
      </c>
      <c r="L329" s="4">
        <v>7792.94</v>
      </c>
      <c r="M329" s="4">
        <v>8071.15</v>
      </c>
      <c r="N329" s="23">
        <f>(H329-J329)/J329</f>
        <v>-1</v>
      </c>
      <c r="O329" s="24">
        <f>H329-J329</f>
        <v>-6000</v>
      </c>
    </row>
    <row r="330" spans="1:15" x14ac:dyDescent="0.25">
      <c r="A330" s="2">
        <v>14211</v>
      </c>
      <c r="B330" s="2">
        <v>51520</v>
      </c>
      <c r="C330" s="2" t="s">
        <v>32</v>
      </c>
      <c r="G330" s="3"/>
      <c r="H330" s="4">
        <v>500</v>
      </c>
      <c r="I330" s="4">
        <f>[1]Expense!N193</f>
        <v>500</v>
      </c>
      <c r="J330" s="4">
        <f>[1]Expense!I193</f>
        <v>3300</v>
      </c>
      <c r="K330" s="4">
        <f>[2]Expense!K172</f>
        <v>2560</v>
      </c>
      <c r="L330" s="4">
        <v>2920</v>
      </c>
      <c r="M330" s="4">
        <v>3020</v>
      </c>
      <c r="N330" s="23">
        <f>(H330-J330)/J330</f>
        <v>-0.84848484848484851</v>
      </c>
      <c r="O330" s="24">
        <f>H330-J330</f>
        <v>-2800</v>
      </c>
    </row>
    <row r="331" spans="1:15" x14ac:dyDescent="0.25">
      <c r="A331" s="2">
        <v>14211</v>
      </c>
      <c r="B331" s="2">
        <v>52100</v>
      </c>
      <c r="C331" s="2" t="s">
        <v>33</v>
      </c>
      <c r="H331" s="4">
        <v>345000</v>
      </c>
      <c r="I331" s="4">
        <f>[1]Expense!N194</f>
        <v>263000</v>
      </c>
      <c r="J331" s="4">
        <f>[1]Expense!I194</f>
        <v>245101</v>
      </c>
      <c r="K331" s="4">
        <f>[2]Expense!K173</f>
        <v>223631.17</v>
      </c>
      <c r="L331" s="4">
        <v>180233.06</v>
      </c>
      <c r="M331" s="4">
        <v>146023.60999999999</v>
      </c>
      <c r="N331" s="23">
        <f>(H331-J331)/J331</f>
        <v>0.40758299639740353</v>
      </c>
      <c r="O331" s="24">
        <f>H331-J331</f>
        <v>99899</v>
      </c>
    </row>
    <row r="332" spans="1:15" x14ac:dyDescent="0.25">
      <c r="A332" s="2">
        <v>14211</v>
      </c>
      <c r="B332" s="2">
        <v>52140</v>
      </c>
      <c r="C332" s="2" t="s">
        <v>34</v>
      </c>
      <c r="G332" s="28"/>
      <c r="H332" s="3">
        <v>585</v>
      </c>
      <c r="I332" s="4">
        <f>[1]Expense!N195</f>
        <v>330</v>
      </c>
      <c r="J332" s="4">
        <f>[1]Expense!I195</f>
        <v>948.6</v>
      </c>
      <c r="N332" s="23">
        <f>(H332-J332)/J332</f>
        <v>-0.38330170777988615</v>
      </c>
      <c r="O332" s="24">
        <f>H332-J332</f>
        <v>-363.6</v>
      </c>
    </row>
    <row r="333" spans="1:15" x14ac:dyDescent="0.25">
      <c r="A333" s="2">
        <v>14211</v>
      </c>
      <c r="B333" s="2">
        <v>52200</v>
      </c>
      <c r="C333" s="2" t="s">
        <v>35</v>
      </c>
      <c r="G333" s="3"/>
      <c r="H333" s="4">
        <v>104600</v>
      </c>
      <c r="I333" s="4">
        <f>[1]Expense!N196</f>
        <v>97000</v>
      </c>
      <c r="J333" s="4">
        <f>[1]Expense!I196</f>
        <v>103830</v>
      </c>
      <c r="K333" s="4">
        <f>[2]Expense!K174</f>
        <v>76860.55</v>
      </c>
      <c r="L333" s="4">
        <v>74007.509999999995</v>
      </c>
      <c r="M333" s="4">
        <v>73118.210000000006</v>
      </c>
      <c r="N333" s="23">
        <f>(H333-J333)/J333</f>
        <v>7.4159684099007993E-3</v>
      </c>
      <c r="O333" s="24">
        <f>H333-J333</f>
        <v>770</v>
      </c>
    </row>
    <row r="334" spans="1:15" x14ac:dyDescent="0.25">
      <c r="A334" s="2">
        <v>14211</v>
      </c>
      <c r="B334" s="2">
        <v>52230</v>
      </c>
      <c r="C334" s="2" t="s">
        <v>36</v>
      </c>
      <c r="G334" s="3"/>
      <c r="H334" s="4">
        <v>286000</v>
      </c>
      <c r="I334" s="4">
        <f>[1]Expense!N197</f>
        <v>265000</v>
      </c>
      <c r="J334" s="4">
        <f>[1]Expense!I197</f>
        <v>321215</v>
      </c>
      <c r="K334" s="4">
        <f>[2]Expense!K175</f>
        <v>243499.11</v>
      </c>
      <c r="L334" s="4">
        <v>232257.04</v>
      </c>
      <c r="M334" s="4">
        <v>214962.49</v>
      </c>
      <c r="N334" s="23">
        <f>(H334-J334)/J334</f>
        <v>-0.10963062123499837</v>
      </c>
      <c r="O334" s="24">
        <f>H334-J334</f>
        <v>-35215</v>
      </c>
    </row>
    <row r="335" spans="1:15" x14ac:dyDescent="0.25">
      <c r="A335" s="2">
        <v>14211</v>
      </c>
      <c r="B335" s="2">
        <v>52250</v>
      </c>
      <c r="C335" s="2" t="s">
        <v>37</v>
      </c>
      <c r="G335" s="3"/>
      <c r="H335" s="3">
        <v>1560</v>
      </c>
      <c r="I335" s="4">
        <f>[1]Expense!N198</f>
        <v>1531</v>
      </c>
      <c r="J335" s="4">
        <f>[1]Expense!I198</f>
        <v>1531</v>
      </c>
      <c r="K335" s="4">
        <f>[2]Expense!K176</f>
        <v>1669.45</v>
      </c>
      <c r="L335" s="4">
        <v>1365.28</v>
      </c>
      <c r="M335" s="4">
        <v>1365.28</v>
      </c>
      <c r="N335" s="23">
        <f>(H335-J335)/J335</f>
        <v>1.8941868060091443E-2</v>
      </c>
      <c r="O335" s="24">
        <f>H335-J335</f>
        <v>29</v>
      </c>
    </row>
    <row r="336" spans="1:15" x14ac:dyDescent="0.25">
      <c r="A336" s="2">
        <v>14211</v>
      </c>
      <c r="B336" s="2">
        <v>52260</v>
      </c>
      <c r="C336" s="2" t="s">
        <v>38</v>
      </c>
      <c r="G336" s="3"/>
      <c r="H336" s="3">
        <v>23042</v>
      </c>
      <c r="I336" s="4">
        <f>[1]Expense!N199</f>
        <v>23046</v>
      </c>
      <c r="J336" s="4">
        <f>[1]Expense!I199</f>
        <v>23046</v>
      </c>
      <c r="K336" s="4">
        <f>[2]Expense!K177</f>
        <v>24067</v>
      </c>
      <c r="L336" s="4">
        <v>31077</v>
      </c>
      <c r="M336" s="4">
        <v>36213</v>
      </c>
      <c r="N336" s="23">
        <f>(H336-J336)/J336</f>
        <v>-1.7356591165495098E-4</v>
      </c>
      <c r="O336" s="24">
        <f>H336-J336</f>
        <v>-4</v>
      </c>
    </row>
    <row r="337" spans="1:15" x14ac:dyDescent="0.25">
      <c r="A337" s="2">
        <v>14211</v>
      </c>
      <c r="B337" s="2">
        <v>53400</v>
      </c>
      <c r="C337" s="2" t="s">
        <v>246</v>
      </c>
      <c r="G337" s="3"/>
      <c r="I337" s="4"/>
      <c r="L337" s="4">
        <v>73.540000000000006</v>
      </c>
      <c r="M337" s="4">
        <v>0</v>
      </c>
      <c r="N337" s="23"/>
      <c r="O337" s="24">
        <f>H337-J337</f>
        <v>0</v>
      </c>
    </row>
    <row r="338" spans="1:15" x14ac:dyDescent="0.25">
      <c r="A338" s="2">
        <v>14211</v>
      </c>
      <c r="B338" s="2">
        <v>53410</v>
      </c>
      <c r="C338" s="2" t="s">
        <v>40</v>
      </c>
      <c r="G338" s="3"/>
      <c r="H338" s="4">
        <v>40996</v>
      </c>
      <c r="I338" s="4">
        <f>[1]Expense!N200</f>
        <v>25000</v>
      </c>
      <c r="J338" s="4">
        <f>[1]Expense!I200</f>
        <v>36437</v>
      </c>
      <c r="K338" s="4">
        <f>[2]Expense!K178</f>
        <v>18458.82</v>
      </c>
      <c r="L338" s="4">
        <v>18462.77</v>
      </c>
      <c r="M338" s="4">
        <v>17946.29</v>
      </c>
      <c r="N338" s="23">
        <f>(H338-J338)/J338</f>
        <v>0.12512007025825397</v>
      </c>
      <c r="O338" s="24">
        <f>H338-J338</f>
        <v>4559</v>
      </c>
    </row>
    <row r="339" spans="1:15" x14ac:dyDescent="0.25">
      <c r="C339" s="2" t="s">
        <v>247</v>
      </c>
      <c r="D339" s="2">
        <v>12</v>
      </c>
      <c r="E339" s="2">
        <v>700</v>
      </c>
      <c r="F339" s="2">
        <v>8400</v>
      </c>
      <c r="G339" s="3"/>
      <c r="I339" s="4"/>
      <c r="N339" s="23"/>
      <c r="O339" s="24">
        <f>H339-J339</f>
        <v>0</v>
      </c>
    </row>
    <row r="340" spans="1:15" x14ac:dyDescent="0.25">
      <c r="C340" s="2" t="s">
        <v>248</v>
      </c>
      <c r="G340" s="3"/>
      <c r="I340" s="4"/>
      <c r="N340" s="23"/>
      <c r="O340" s="24">
        <f>H340-J340</f>
        <v>0</v>
      </c>
    </row>
    <row r="341" spans="1:15" x14ac:dyDescent="0.25">
      <c r="C341" s="2" t="s">
        <v>249</v>
      </c>
      <c r="D341" s="2">
        <v>12</v>
      </c>
      <c r="E341" s="2">
        <v>330</v>
      </c>
      <c r="F341" s="2">
        <v>3960</v>
      </c>
      <c r="G341" s="3"/>
      <c r="I341" s="4"/>
      <c r="N341" s="23"/>
      <c r="O341" s="24">
        <f>H341-J341</f>
        <v>0</v>
      </c>
    </row>
    <row r="342" spans="1:15" x14ac:dyDescent="0.25">
      <c r="C342" s="2" t="s">
        <v>250</v>
      </c>
      <c r="D342" s="2">
        <v>1</v>
      </c>
      <c r="E342" s="2">
        <v>4800</v>
      </c>
      <c r="F342" s="2">
        <v>4800</v>
      </c>
      <c r="G342" s="3"/>
      <c r="I342" s="4"/>
      <c r="N342" s="23"/>
      <c r="O342" s="24">
        <f>H342-J342</f>
        <v>0</v>
      </c>
    </row>
    <row r="343" spans="1:15" x14ac:dyDescent="0.25">
      <c r="C343" s="2" t="s">
        <v>251</v>
      </c>
      <c r="G343" s="3"/>
      <c r="I343" s="4"/>
      <c r="N343" s="23"/>
      <c r="O343" s="24">
        <f>H343-J343</f>
        <v>0</v>
      </c>
    </row>
    <row r="344" spans="1:15" x14ac:dyDescent="0.25">
      <c r="C344" s="2" t="s">
        <v>252</v>
      </c>
      <c r="G344" s="3"/>
      <c r="I344" s="4"/>
      <c r="N344" s="23"/>
      <c r="O344" s="24">
        <f>H344-J344</f>
        <v>0</v>
      </c>
    </row>
    <row r="345" spans="1:15" x14ac:dyDescent="0.25">
      <c r="C345" s="2" t="s">
        <v>253</v>
      </c>
      <c r="D345" s="2">
        <v>1</v>
      </c>
      <c r="E345" s="2">
        <v>1000</v>
      </c>
      <c r="F345" s="2">
        <v>1000</v>
      </c>
      <c r="G345" s="3"/>
      <c r="I345" s="4"/>
      <c r="N345" s="23"/>
      <c r="O345" s="24">
        <f>H345-J345</f>
        <v>0</v>
      </c>
    </row>
    <row r="346" spans="1:15" x14ac:dyDescent="0.25">
      <c r="C346" s="2" t="s">
        <v>254</v>
      </c>
      <c r="F346" s="2">
        <v>22836</v>
      </c>
      <c r="G346" s="3"/>
      <c r="I346" s="4"/>
      <c r="N346" s="23"/>
      <c r="O346" s="24">
        <f>H346-J346</f>
        <v>0</v>
      </c>
    </row>
    <row r="347" spans="1:15" x14ac:dyDescent="0.25">
      <c r="C347" s="2" t="s">
        <v>255</v>
      </c>
      <c r="G347" s="3"/>
      <c r="I347" s="4"/>
      <c r="N347" s="23"/>
      <c r="O347" s="24">
        <f>H347-J347</f>
        <v>0</v>
      </c>
    </row>
    <row r="348" spans="1:15" x14ac:dyDescent="0.25">
      <c r="C348" s="2" t="s">
        <v>256</v>
      </c>
      <c r="G348" s="3"/>
      <c r="I348" s="4"/>
      <c r="N348" s="23"/>
      <c r="O348" s="24">
        <f>H348-J348</f>
        <v>0</v>
      </c>
    </row>
    <row r="349" spans="1:15" x14ac:dyDescent="0.25">
      <c r="C349" s="2" t="s">
        <v>257</v>
      </c>
      <c r="G349" s="3"/>
      <c r="I349" s="4"/>
      <c r="N349" s="23"/>
      <c r="O349" s="24">
        <f>H349-J349</f>
        <v>0</v>
      </c>
    </row>
    <row r="350" spans="1:15" x14ac:dyDescent="0.25">
      <c r="C350" s="2" t="s">
        <v>258</v>
      </c>
      <c r="G350" s="3"/>
      <c r="I350" s="4"/>
      <c r="N350" s="23"/>
      <c r="O350" s="24">
        <f>H350-J350</f>
        <v>0</v>
      </c>
    </row>
    <row r="351" spans="1:15" x14ac:dyDescent="0.25">
      <c r="C351" s="2" t="s">
        <v>259</v>
      </c>
      <c r="G351" s="3"/>
      <c r="I351" s="4"/>
      <c r="N351" s="23"/>
      <c r="O351" s="24">
        <f>H351-J351</f>
        <v>0</v>
      </c>
    </row>
    <row r="352" spans="1:15" x14ac:dyDescent="0.25">
      <c r="A352" s="2">
        <v>14211</v>
      </c>
      <c r="B352" s="2">
        <v>53412</v>
      </c>
      <c r="C352" s="2" t="s">
        <v>260</v>
      </c>
      <c r="G352" s="3"/>
      <c r="H352" s="4">
        <v>240</v>
      </c>
      <c r="I352" s="4">
        <f>[1]Expense!N201</f>
        <v>645</v>
      </c>
      <c r="J352" s="4">
        <f>[1]Expense!I201</f>
        <v>645</v>
      </c>
      <c r="K352" s="4">
        <f>[2]Expense!K179</f>
        <v>600.24</v>
      </c>
      <c r="L352" s="4">
        <v>536.63</v>
      </c>
      <c r="M352" s="4">
        <v>519.98</v>
      </c>
      <c r="N352" s="23">
        <f>(H352-J352)/J352</f>
        <v>-0.62790697674418605</v>
      </c>
      <c r="O352" s="24">
        <f>H352-J352</f>
        <v>-405</v>
      </c>
    </row>
    <row r="353" spans="1:15" x14ac:dyDescent="0.25">
      <c r="A353" s="2">
        <v>14211</v>
      </c>
      <c r="B353" s="2">
        <v>53420</v>
      </c>
      <c r="C353" s="2" t="s">
        <v>167</v>
      </c>
      <c r="G353" s="3"/>
      <c r="H353" s="4">
        <v>11040</v>
      </c>
      <c r="I353" s="4">
        <f>[1]Expense!N202</f>
        <v>20240</v>
      </c>
      <c r="J353" s="4">
        <f>[1]Expense!I202</f>
        <v>20240</v>
      </c>
      <c r="K353" s="4">
        <f>[2]Expense!K180</f>
        <v>27310.720000000001</v>
      </c>
      <c r="L353" s="4">
        <v>16318.21</v>
      </c>
      <c r="M353" s="4">
        <v>72910.600000000006</v>
      </c>
      <c r="N353" s="23">
        <f>(H353-J353)/J353</f>
        <v>-0.45454545454545453</v>
      </c>
      <c r="O353" s="24">
        <f>H353-J353</f>
        <v>-9200</v>
      </c>
    </row>
    <row r="354" spans="1:15" x14ac:dyDescent="0.25">
      <c r="C354" s="2" t="s">
        <v>261</v>
      </c>
      <c r="D354" s="2">
        <v>1</v>
      </c>
      <c r="E354" s="2">
        <v>11040</v>
      </c>
      <c r="F354" s="2">
        <v>11040</v>
      </c>
      <c r="G354" s="3"/>
      <c r="I354" s="4"/>
      <c r="N354" s="23"/>
      <c r="O354" s="24">
        <f>H354-J354</f>
        <v>0</v>
      </c>
    </row>
    <row r="355" spans="1:15" x14ac:dyDescent="0.25">
      <c r="C355" s="2" t="s">
        <v>262</v>
      </c>
      <c r="G355" s="3"/>
      <c r="I355" s="4"/>
      <c r="N355" s="23"/>
      <c r="O355" s="24">
        <f>H355-J355</f>
        <v>0</v>
      </c>
    </row>
    <row r="356" spans="1:15" x14ac:dyDescent="0.25">
      <c r="C356" s="2" t="s">
        <v>263</v>
      </c>
      <c r="G356" s="3"/>
      <c r="I356" s="4"/>
      <c r="N356" s="23"/>
      <c r="O356" s="24">
        <f>H356-J356</f>
        <v>0</v>
      </c>
    </row>
    <row r="357" spans="1:15" x14ac:dyDescent="0.25">
      <c r="A357" s="2">
        <v>14211</v>
      </c>
      <c r="B357" s="2">
        <v>53425</v>
      </c>
      <c r="C357" s="2" t="s">
        <v>44</v>
      </c>
      <c r="G357" s="3"/>
      <c r="H357" s="3">
        <f>SUM(E358:E360)</f>
        <v>49298</v>
      </c>
      <c r="I357" s="4">
        <f>[1]Expense!N203</f>
        <v>26000</v>
      </c>
      <c r="J357" s="4">
        <f>[1]Expense!I203</f>
        <v>29670</v>
      </c>
      <c r="K357" s="4">
        <f>[2]Expense!K181</f>
        <v>27487.360000000001</v>
      </c>
      <c r="L357" s="4">
        <v>20195.25</v>
      </c>
      <c r="N357" s="23">
        <f>(H357-J357)/J357</f>
        <v>0.66154364678126054</v>
      </c>
      <c r="O357" s="24">
        <f>H357-J357</f>
        <v>19628</v>
      </c>
    </row>
    <row r="358" spans="1:15" x14ac:dyDescent="0.25">
      <c r="C358" s="2" t="s">
        <v>264</v>
      </c>
      <c r="D358" s="2">
        <v>1</v>
      </c>
      <c r="E358" s="2">
        <v>45338</v>
      </c>
      <c r="F358" s="2">
        <v>45338</v>
      </c>
      <c r="G358" s="3"/>
      <c r="I358" s="4"/>
      <c r="N358" s="23"/>
      <c r="O358" s="24">
        <f>H358-J358</f>
        <v>0</v>
      </c>
    </row>
    <row r="359" spans="1:15" x14ac:dyDescent="0.25">
      <c r="C359" s="2" t="s">
        <v>265</v>
      </c>
      <c r="D359" s="2">
        <v>1</v>
      </c>
      <c r="E359" s="2">
        <v>3000</v>
      </c>
      <c r="F359" s="2">
        <v>3000</v>
      </c>
      <c r="G359" s="3"/>
      <c r="I359" s="4"/>
      <c r="N359" s="23"/>
      <c r="O359" s="24">
        <f>H359-J359</f>
        <v>0</v>
      </c>
    </row>
    <row r="360" spans="1:15" x14ac:dyDescent="0.25">
      <c r="C360" s="2" t="s">
        <v>266</v>
      </c>
      <c r="D360" s="2">
        <v>1</v>
      </c>
      <c r="E360" s="2">
        <v>960</v>
      </c>
      <c r="F360" s="2">
        <v>960</v>
      </c>
      <c r="G360" s="3"/>
      <c r="I360" s="4"/>
      <c r="N360" s="23"/>
      <c r="O360" s="24">
        <f>H360-J360</f>
        <v>0</v>
      </c>
    </row>
    <row r="361" spans="1:15" x14ac:dyDescent="0.25">
      <c r="A361" s="2">
        <v>14211</v>
      </c>
      <c r="B361" s="2">
        <v>53905</v>
      </c>
      <c r="C361" s="2" t="s">
        <v>267</v>
      </c>
      <c r="G361" s="3"/>
      <c r="H361" s="4">
        <v>30001</v>
      </c>
      <c r="I361" s="4">
        <f>[1]Expense!N204</f>
        <v>30001</v>
      </c>
      <c r="J361" s="4">
        <f>[1]Expense!I204</f>
        <v>30001</v>
      </c>
      <c r="K361" s="4">
        <f>[2]Expense!K182</f>
        <v>22428.14</v>
      </c>
      <c r="L361" s="4">
        <v>9898.09</v>
      </c>
      <c r="M361" s="4">
        <v>43382.89</v>
      </c>
      <c r="N361" s="23">
        <f>(H361-J361)/J361</f>
        <v>0</v>
      </c>
      <c r="O361" s="24">
        <f>H361-J361</f>
        <v>0</v>
      </c>
    </row>
    <row r="362" spans="1:15" x14ac:dyDescent="0.25">
      <c r="C362" s="2" t="s">
        <v>268</v>
      </c>
      <c r="D362" s="2">
        <v>1</v>
      </c>
      <c r="E362" s="2">
        <v>19088</v>
      </c>
      <c r="F362" s="2">
        <v>19088</v>
      </c>
      <c r="G362" s="3"/>
      <c r="I362" s="4"/>
      <c r="N362" s="23"/>
      <c r="O362" s="24">
        <f>H362-J362</f>
        <v>0</v>
      </c>
    </row>
    <row r="363" spans="1:15" x14ac:dyDescent="0.25">
      <c r="C363" s="2" t="s">
        <v>269</v>
      </c>
      <c r="D363" s="2">
        <v>1</v>
      </c>
      <c r="E363" s="2">
        <v>1300</v>
      </c>
      <c r="F363" s="2">
        <v>1300</v>
      </c>
      <c r="G363" s="3"/>
      <c r="I363" s="4"/>
      <c r="N363" s="23"/>
      <c r="O363" s="24">
        <f>H363-J363</f>
        <v>0</v>
      </c>
    </row>
    <row r="364" spans="1:15" x14ac:dyDescent="0.25">
      <c r="C364" s="2" t="s">
        <v>270</v>
      </c>
      <c r="G364" s="3"/>
      <c r="I364" s="4"/>
      <c r="N364" s="23"/>
      <c r="O364" s="24">
        <f>H364-J364</f>
        <v>0</v>
      </c>
    </row>
    <row r="365" spans="1:15" x14ac:dyDescent="0.25">
      <c r="C365" s="2" t="s">
        <v>271</v>
      </c>
      <c r="D365" s="2">
        <v>1</v>
      </c>
      <c r="E365" s="2">
        <v>4513</v>
      </c>
      <c r="F365" s="2">
        <v>4513</v>
      </c>
      <c r="G365" s="3"/>
      <c r="I365" s="4"/>
      <c r="N365" s="23"/>
      <c r="O365" s="24">
        <f>H365-J365</f>
        <v>0</v>
      </c>
    </row>
    <row r="366" spans="1:15" x14ac:dyDescent="0.25">
      <c r="C366" s="2" t="s">
        <v>272</v>
      </c>
      <c r="D366" s="2">
        <v>1</v>
      </c>
      <c r="E366" s="2">
        <v>5100</v>
      </c>
      <c r="F366" s="2">
        <v>5100</v>
      </c>
      <c r="G366" s="3"/>
      <c r="I366" s="4"/>
      <c r="N366" s="23"/>
      <c r="O366" s="24">
        <f>H366-J366</f>
        <v>0</v>
      </c>
    </row>
    <row r="367" spans="1:15" x14ac:dyDescent="0.25">
      <c r="A367" s="2">
        <v>14211</v>
      </c>
      <c r="B367" s="2">
        <v>54352</v>
      </c>
      <c r="C367" s="2" t="s">
        <v>273</v>
      </c>
      <c r="G367" s="3"/>
      <c r="H367" s="4">
        <v>20000</v>
      </c>
      <c r="I367" s="4">
        <f>[1]Expense!N205</f>
        <v>10000</v>
      </c>
      <c r="J367" s="4">
        <f>[1]Expense!I205</f>
        <v>15000</v>
      </c>
      <c r="K367" s="4">
        <f>[2]Expense!K183</f>
        <v>7005.23</v>
      </c>
      <c r="L367" s="4">
        <v>7390.49</v>
      </c>
      <c r="M367" s="4">
        <v>11403.06</v>
      </c>
      <c r="N367" s="23">
        <f>(H367-J367)/J367</f>
        <v>0.33333333333333331</v>
      </c>
      <c r="O367" s="24">
        <f>H367-J367</f>
        <v>5000</v>
      </c>
    </row>
    <row r="368" spans="1:15" x14ac:dyDescent="0.25">
      <c r="C368" s="2" t="s">
        <v>274</v>
      </c>
      <c r="D368" s="2">
        <v>1</v>
      </c>
      <c r="E368" s="2">
        <v>10000</v>
      </c>
      <c r="F368" s="2">
        <v>10000</v>
      </c>
      <c r="G368" s="3"/>
      <c r="I368" s="4"/>
      <c r="N368" s="23"/>
      <c r="O368" s="24">
        <f>H368-J368</f>
        <v>0</v>
      </c>
    </row>
    <row r="369" spans="1:15" x14ac:dyDescent="0.25">
      <c r="C369" s="2" t="s">
        <v>275</v>
      </c>
      <c r="G369" s="3"/>
      <c r="I369" s="4"/>
      <c r="N369" s="23"/>
      <c r="O369" s="24">
        <f>H369-J369</f>
        <v>0</v>
      </c>
    </row>
    <row r="370" spans="1:15" x14ac:dyDescent="0.25">
      <c r="C370" s="2" t="s">
        <v>276</v>
      </c>
      <c r="G370" s="3"/>
      <c r="I370" s="4"/>
      <c r="N370" s="23"/>
      <c r="O370" s="24">
        <f>H370-J370</f>
        <v>0</v>
      </c>
    </row>
    <row r="371" spans="1:15" x14ac:dyDescent="0.25">
      <c r="C371" s="2" t="s">
        <v>277</v>
      </c>
      <c r="D371" s="2">
        <v>1</v>
      </c>
      <c r="E371" s="2">
        <v>5000</v>
      </c>
      <c r="F371" s="2">
        <v>5000</v>
      </c>
      <c r="G371" s="3"/>
      <c r="I371" s="4"/>
      <c r="N371" s="23"/>
      <c r="O371" s="24">
        <f>H371-J371</f>
        <v>0</v>
      </c>
    </row>
    <row r="372" spans="1:15" x14ac:dyDescent="0.25">
      <c r="C372" s="2" t="s">
        <v>278</v>
      </c>
      <c r="G372" s="3"/>
      <c r="I372" s="4"/>
      <c r="N372" s="23"/>
      <c r="O372" s="24">
        <f>H372-J372</f>
        <v>0</v>
      </c>
    </row>
    <row r="373" spans="1:15" x14ac:dyDescent="0.25">
      <c r="C373" s="2" t="s">
        <v>279</v>
      </c>
      <c r="D373" s="2">
        <v>1</v>
      </c>
      <c r="E373" s="2">
        <v>5000</v>
      </c>
      <c r="F373" s="2">
        <v>5000</v>
      </c>
      <c r="G373" s="3"/>
      <c r="I373" s="4"/>
      <c r="N373" s="23"/>
      <c r="O373" s="24">
        <f>H373-J373</f>
        <v>0</v>
      </c>
    </row>
    <row r="374" spans="1:15" x14ac:dyDescent="0.25">
      <c r="C374" s="2" t="s">
        <v>280</v>
      </c>
      <c r="G374" s="3"/>
      <c r="I374" s="4"/>
      <c r="N374" s="23"/>
      <c r="O374" s="24">
        <f>H374-J374</f>
        <v>0</v>
      </c>
    </row>
    <row r="375" spans="1:15" x14ac:dyDescent="0.25">
      <c r="C375" s="2" t="s">
        <v>281</v>
      </c>
      <c r="G375" s="3"/>
      <c r="I375" s="4"/>
      <c r="N375" s="23"/>
      <c r="O375" s="24">
        <f>H375-J375</f>
        <v>0</v>
      </c>
    </row>
    <row r="376" spans="1:15" x14ac:dyDescent="0.25">
      <c r="A376" s="2">
        <v>14211</v>
      </c>
      <c r="B376" s="2">
        <v>54353</v>
      </c>
      <c r="C376" s="2" t="s">
        <v>51</v>
      </c>
      <c r="D376" s="2">
        <v>12</v>
      </c>
      <c r="E376" s="2">
        <v>310</v>
      </c>
      <c r="F376" s="2">
        <v>3720</v>
      </c>
      <c r="G376" s="3"/>
      <c r="H376" s="4">
        <v>3720</v>
      </c>
      <c r="I376" s="4">
        <f>[1]Expense!N206</f>
        <v>3504</v>
      </c>
      <c r="J376" s="4">
        <f>[1]Expense!I206</f>
        <v>3504</v>
      </c>
      <c r="K376" s="4">
        <f>[2]Expense!K184</f>
        <v>3354.93</v>
      </c>
      <c r="L376" s="4">
        <v>1759.61</v>
      </c>
      <c r="M376" s="4">
        <v>1696.92</v>
      </c>
      <c r="N376" s="23">
        <f>(H376-J376)/J376</f>
        <v>6.1643835616438353E-2</v>
      </c>
      <c r="O376" s="24">
        <f>H376-J376</f>
        <v>216</v>
      </c>
    </row>
    <row r="377" spans="1:15" x14ac:dyDescent="0.25">
      <c r="A377" s="2">
        <v>14211</v>
      </c>
      <c r="B377" s="2">
        <v>54425</v>
      </c>
      <c r="C377" s="2" t="s">
        <v>282</v>
      </c>
      <c r="G377" s="3"/>
      <c r="H377" s="4">
        <v>74800</v>
      </c>
      <c r="I377" s="4"/>
      <c r="N377" s="23"/>
      <c r="O377" s="24">
        <f>H377-J377</f>
        <v>74800</v>
      </c>
    </row>
    <row r="378" spans="1:15" x14ac:dyDescent="0.25">
      <c r="C378" s="2" t="s">
        <v>283</v>
      </c>
      <c r="D378" s="2">
        <v>1</v>
      </c>
      <c r="E378" s="2">
        <v>18000</v>
      </c>
      <c r="F378" s="2">
        <v>18000</v>
      </c>
      <c r="G378" s="3"/>
      <c r="I378" s="4"/>
      <c r="N378" s="23"/>
      <c r="O378" s="24">
        <f>H378-J378</f>
        <v>0</v>
      </c>
    </row>
    <row r="379" spans="1:15" x14ac:dyDescent="0.25">
      <c r="C379" s="2" t="s">
        <v>284</v>
      </c>
      <c r="D379" s="2">
        <v>1</v>
      </c>
      <c r="E379" s="2">
        <v>18000</v>
      </c>
      <c r="F379" s="2">
        <v>18000</v>
      </c>
      <c r="G379" s="3"/>
      <c r="I379" s="4"/>
      <c r="N379" s="23"/>
      <c r="O379" s="24">
        <f>H379-J379</f>
        <v>0</v>
      </c>
    </row>
    <row r="380" spans="1:15" x14ac:dyDescent="0.25">
      <c r="C380" s="2" t="s">
        <v>285</v>
      </c>
      <c r="D380" s="2">
        <v>1</v>
      </c>
      <c r="E380" s="2">
        <v>1800</v>
      </c>
      <c r="F380" s="2">
        <v>1800</v>
      </c>
      <c r="G380" s="3"/>
      <c r="I380" s="4"/>
      <c r="N380" s="23"/>
      <c r="O380" s="24">
        <f>H380-J380</f>
        <v>0</v>
      </c>
    </row>
    <row r="381" spans="1:15" x14ac:dyDescent="0.25">
      <c r="C381" s="2" t="s">
        <v>286</v>
      </c>
      <c r="D381" s="2">
        <v>1</v>
      </c>
      <c r="E381" s="2">
        <v>1000</v>
      </c>
      <c r="F381" s="2">
        <v>1000</v>
      </c>
      <c r="G381" s="3"/>
      <c r="I381" s="4"/>
      <c r="N381" s="23"/>
      <c r="O381" s="24">
        <f>H381-J381</f>
        <v>0</v>
      </c>
    </row>
    <row r="382" spans="1:15" x14ac:dyDescent="0.25">
      <c r="C382" s="2" t="s">
        <v>287</v>
      </c>
      <c r="D382" s="2">
        <v>1</v>
      </c>
      <c r="E382" s="2">
        <v>18000</v>
      </c>
      <c r="F382" s="2">
        <v>18000</v>
      </c>
      <c r="G382" s="3"/>
      <c r="I382" s="4"/>
      <c r="N382" s="23"/>
      <c r="O382" s="24">
        <f>H382-J382</f>
        <v>0</v>
      </c>
    </row>
    <row r="383" spans="1:15" x14ac:dyDescent="0.25">
      <c r="C383" s="2" t="s">
        <v>288</v>
      </c>
      <c r="D383" s="2">
        <v>1</v>
      </c>
      <c r="E383" s="2">
        <v>18000</v>
      </c>
      <c r="F383" s="2">
        <v>18000</v>
      </c>
      <c r="G383" s="3"/>
      <c r="I383" s="4"/>
      <c r="N383" s="23"/>
      <c r="O383" s="24">
        <f>H383-J383</f>
        <v>0</v>
      </c>
    </row>
    <row r="384" spans="1:15" x14ac:dyDescent="0.25">
      <c r="A384" s="2">
        <v>14211</v>
      </c>
      <c r="B384" s="2">
        <v>54800</v>
      </c>
      <c r="C384" s="2" t="s">
        <v>52</v>
      </c>
      <c r="G384" s="3"/>
      <c r="H384" s="3">
        <v>32377</v>
      </c>
      <c r="I384" s="4">
        <f>[1]Expense!N207</f>
        <v>27484</v>
      </c>
      <c r="J384" s="4">
        <f>[1]Expense!I207</f>
        <v>27484</v>
      </c>
      <c r="K384" s="4">
        <f>[2]Expense!K185</f>
        <v>24985.5</v>
      </c>
      <c r="L384" s="4">
        <v>23350.84</v>
      </c>
      <c r="M384" s="4">
        <v>21823.18</v>
      </c>
      <c r="N384" s="23">
        <f>(H384-J384)/J384</f>
        <v>0.17803085431523796</v>
      </c>
      <c r="O384" s="24">
        <f>H384-J384</f>
        <v>4893</v>
      </c>
    </row>
    <row r="385" spans="1:15" x14ac:dyDescent="0.25">
      <c r="A385" s="2">
        <v>14211</v>
      </c>
      <c r="B385" s="2">
        <v>55000</v>
      </c>
      <c r="C385" s="2" t="s">
        <v>289</v>
      </c>
      <c r="G385" s="3"/>
      <c r="H385" s="4">
        <v>500</v>
      </c>
      <c r="I385" s="4">
        <f>[1]Expense!N208</f>
        <v>500</v>
      </c>
      <c r="J385" s="4">
        <f>[1]Expense!I208</f>
        <v>500</v>
      </c>
      <c r="K385" s="4">
        <f>[2]Expense!K186</f>
        <v>204</v>
      </c>
      <c r="L385" s="4">
        <v>468</v>
      </c>
      <c r="M385" s="4">
        <v>456.7</v>
      </c>
      <c r="N385" s="23">
        <f>(H385-J385)/J385</f>
        <v>0</v>
      </c>
      <c r="O385" s="24">
        <f>H385-J385</f>
        <v>0</v>
      </c>
    </row>
    <row r="386" spans="1:15" x14ac:dyDescent="0.25">
      <c r="C386" s="2" t="s">
        <v>290</v>
      </c>
      <c r="D386" s="2">
        <v>1</v>
      </c>
      <c r="E386" s="2">
        <v>500</v>
      </c>
      <c r="F386" s="2">
        <v>500</v>
      </c>
      <c r="G386" s="3"/>
      <c r="I386" s="4"/>
      <c r="N386" s="23"/>
      <c r="O386" s="24">
        <f>H386-J386</f>
        <v>0</v>
      </c>
    </row>
    <row r="387" spans="1:15" x14ac:dyDescent="0.25">
      <c r="A387" s="2">
        <v>14211</v>
      </c>
      <c r="B387" s="2">
        <v>55200</v>
      </c>
      <c r="C387" s="2" t="s">
        <v>291</v>
      </c>
      <c r="G387" s="3"/>
      <c r="I387" s="4">
        <f>[1]Expense!N209</f>
        <v>0</v>
      </c>
      <c r="J387" s="4">
        <f>[1]Expense!I209</f>
        <v>0</v>
      </c>
      <c r="L387" s="4">
        <v>1950</v>
      </c>
      <c r="M387" s="4">
        <v>0</v>
      </c>
      <c r="N387" s="23"/>
      <c r="O387" s="24">
        <f>H387-J387</f>
        <v>0</v>
      </c>
    </row>
    <row r="388" spans="1:15" x14ac:dyDescent="0.25">
      <c r="A388" s="2">
        <v>14211</v>
      </c>
      <c r="B388" s="2">
        <v>55500</v>
      </c>
      <c r="C388" s="2" t="s">
        <v>53</v>
      </c>
      <c r="G388" s="3"/>
      <c r="H388" s="4">
        <v>500</v>
      </c>
      <c r="I388" s="4">
        <f>[1]Expense!N210</f>
        <v>575</v>
      </c>
      <c r="J388" s="4">
        <f>[1]Expense!I210</f>
        <v>575</v>
      </c>
      <c r="K388" s="4">
        <f>[2]Expense!K188</f>
        <v>468.49</v>
      </c>
      <c r="L388" s="4">
        <v>320</v>
      </c>
      <c r="M388" s="4">
        <v>344.36</v>
      </c>
      <c r="N388" s="23">
        <f>(H388-J388)/J388</f>
        <v>-0.13043478260869565</v>
      </c>
      <c r="O388" s="24">
        <f>H388-J388</f>
        <v>-75</v>
      </c>
    </row>
    <row r="389" spans="1:15" x14ac:dyDescent="0.25">
      <c r="C389" s="2" t="s">
        <v>292</v>
      </c>
      <c r="G389" s="3"/>
      <c r="I389" s="4"/>
      <c r="N389" s="23"/>
      <c r="O389" s="24">
        <f>H389-J389</f>
        <v>0</v>
      </c>
    </row>
    <row r="390" spans="1:15" x14ac:dyDescent="0.25">
      <c r="A390" s="2">
        <v>14211</v>
      </c>
      <c r="B390" s="2">
        <v>55600</v>
      </c>
      <c r="C390" s="2" t="s">
        <v>77</v>
      </c>
      <c r="G390" s="3"/>
      <c r="H390" s="4">
        <v>1625</v>
      </c>
      <c r="I390" s="4">
        <f>[1]Expense!N211</f>
        <v>1625</v>
      </c>
      <c r="J390" s="4">
        <f>[1]Expense!I211</f>
        <v>1625</v>
      </c>
      <c r="K390" s="4">
        <f>[2]Expense!K189</f>
        <v>1465</v>
      </c>
      <c r="L390" s="4">
        <v>940</v>
      </c>
      <c r="M390" s="4">
        <v>1335</v>
      </c>
      <c r="N390" s="23">
        <f>(H390-J390)/J390</f>
        <v>0</v>
      </c>
      <c r="O390" s="24">
        <f>H390-J390</f>
        <v>0</v>
      </c>
    </row>
    <row r="391" spans="1:15" x14ac:dyDescent="0.25">
      <c r="C391" s="2" t="s">
        <v>293</v>
      </c>
      <c r="D391" s="2">
        <v>1</v>
      </c>
      <c r="E391" s="2">
        <v>675</v>
      </c>
      <c r="F391" s="2">
        <v>675</v>
      </c>
      <c r="G391" s="3"/>
      <c r="I391" s="4"/>
      <c r="N391" s="23"/>
      <c r="O391" s="24">
        <f>H391-J391</f>
        <v>0</v>
      </c>
    </row>
    <row r="392" spans="1:15" x14ac:dyDescent="0.25">
      <c r="C392" s="2" t="s">
        <v>294</v>
      </c>
      <c r="D392" s="2">
        <v>1</v>
      </c>
      <c r="E392" s="2">
        <v>150</v>
      </c>
      <c r="F392" s="2">
        <v>150</v>
      </c>
      <c r="G392" s="3"/>
      <c r="I392" s="4"/>
      <c r="N392" s="23"/>
      <c r="O392" s="24">
        <f>H392-J392</f>
        <v>0</v>
      </c>
    </row>
    <row r="393" spans="1:15" x14ac:dyDescent="0.25">
      <c r="C393" s="2" t="s">
        <v>295</v>
      </c>
      <c r="D393" s="2">
        <v>1</v>
      </c>
      <c r="E393" s="2">
        <v>50</v>
      </c>
      <c r="F393" s="2">
        <v>50</v>
      </c>
      <c r="G393" s="3"/>
      <c r="I393" s="4"/>
      <c r="N393" s="23"/>
      <c r="O393" s="24">
        <f>H393-J393</f>
        <v>0</v>
      </c>
    </row>
    <row r="394" spans="1:15" x14ac:dyDescent="0.25">
      <c r="C394" s="2" t="s">
        <v>296</v>
      </c>
      <c r="D394" s="2">
        <v>1</v>
      </c>
      <c r="E394" s="2">
        <v>150</v>
      </c>
      <c r="F394" s="2">
        <v>150</v>
      </c>
      <c r="G394" s="3"/>
      <c r="I394" s="4"/>
      <c r="N394" s="23"/>
      <c r="O394" s="24">
        <f>H394-J394</f>
        <v>0</v>
      </c>
    </row>
    <row r="395" spans="1:15" x14ac:dyDescent="0.25">
      <c r="C395" s="2" t="s">
        <v>297</v>
      </c>
      <c r="D395" s="2">
        <v>1</v>
      </c>
      <c r="E395" s="2">
        <v>300</v>
      </c>
      <c r="F395" s="2">
        <v>300</v>
      </c>
      <c r="G395" s="3"/>
      <c r="I395" s="4"/>
      <c r="N395" s="23"/>
      <c r="O395" s="24">
        <f>H395-J395</f>
        <v>0</v>
      </c>
    </row>
    <row r="396" spans="1:15" x14ac:dyDescent="0.25">
      <c r="C396" s="2" t="s">
        <v>298</v>
      </c>
      <c r="D396" s="2">
        <v>1</v>
      </c>
      <c r="E396" s="2">
        <v>100</v>
      </c>
      <c r="F396" s="2">
        <v>100</v>
      </c>
      <c r="G396" s="3"/>
      <c r="I396" s="4"/>
      <c r="N396" s="23"/>
      <c r="O396" s="24">
        <f>H396-J396</f>
        <v>0</v>
      </c>
    </row>
    <row r="397" spans="1:15" x14ac:dyDescent="0.25">
      <c r="C397" s="2" t="s">
        <v>299</v>
      </c>
      <c r="G397" s="3"/>
      <c r="I397" s="4"/>
      <c r="N397" s="23"/>
      <c r="O397" s="24">
        <f>H397-J397</f>
        <v>0</v>
      </c>
    </row>
    <row r="398" spans="1:15" x14ac:dyDescent="0.25">
      <c r="C398" s="2" t="s">
        <v>300</v>
      </c>
      <c r="G398" s="3"/>
      <c r="I398" s="4"/>
      <c r="N398" s="23"/>
      <c r="O398" s="24">
        <f>H398-J398</f>
        <v>0</v>
      </c>
    </row>
    <row r="399" spans="1:15" x14ac:dyDescent="0.25">
      <c r="C399" s="2" t="s">
        <v>301</v>
      </c>
      <c r="D399" s="2">
        <v>1</v>
      </c>
      <c r="E399" s="2">
        <v>200</v>
      </c>
      <c r="F399" s="2">
        <v>200</v>
      </c>
      <c r="G399" s="3"/>
      <c r="I399" s="4"/>
      <c r="N399" s="23"/>
      <c r="O399" s="24">
        <f>H399-J399</f>
        <v>0</v>
      </c>
    </row>
    <row r="400" spans="1:15" x14ac:dyDescent="0.25">
      <c r="A400" s="2">
        <v>14211</v>
      </c>
      <c r="B400" s="2">
        <v>56100</v>
      </c>
      <c r="C400" s="2" t="s">
        <v>153</v>
      </c>
      <c r="G400" s="3"/>
      <c r="H400" s="4">
        <v>800</v>
      </c>
      <c r="I400" s="4">
        <f>[1]Expense!N212</f>
        <v>1500</v>
      </c>
      <c r="J400" s="4">
        <f>[1]Expense!I212</f>
        <v>800</v>
      </c>
      <c r="K400" s="4">
        <f>[2]Expense!K190</f>
        <v>423.63</v>
      </c>
      <c r="L400" s="4">
        <v>706</v>
      </c>
      <c r="M400" s="4">
        <v>1113.3800000000001</v>
      </c>
      <c r="N400" s="23">
        <f>(H400-J400)/J400</f>
        <v>0</v>
      </c>
      <c r="O400" s="24">
        <f>H400-J400</f>
        <v>0</v>
      </c>
    </row>
    <row r="401" spans="1:15" x14ac:dyDescent="0.25">
      <c r="A401" s="2">
        <v>14211</v>
      </c>
      <c r="B401" s="2">
        <v>56105</v>
      </c>
      <c r="C401" s="2" t="s">
        <v>54</v>
      </c>
      <c r="G401" s="3"/>
      <c r="H401" s="4">
        <v>200</v>
      </c>
      <c r="I401" s="4">
        <f>[1]Expense!N213</f>
        <v>0</v>
      </c>
      <c r="J401" s="4">
        <f>[1]Expense!I213</f>
        <v>200</v>
      </c>
      <c r="K401" s="4">
        <f>[2]Expense!K191</f>
        <v>255</v>
      </c>
      <c r="L401" s="4">
        <v>0</v>
      </c>
      <c r="M401" s="4">
        <v>237.3</v>
      </c>
      <c r="N401" s="23">
        <f>(H401-J401)/J401</f>
        <v>0</v>
      </c>
      <c r="O401" s="24">
        <f>H401-J401</f>
        <v>0</v>
      </c>
    </row>
    <row r="402" spans="1:15" x14ac:dyDescent="0.25">
      <c r="A402" s="2">
        <v>14211</v>
      </c>
      <c r="B402" s="2">
        <v>56110</v>
      </c>
      <c r="C402" s="2" t="s">
        <v>197</v>
      </c>
      <c r="G402" s="3"/>
      <c r="H402" s="4">
        <v>10000</v>
      </c>
      <c r="I402" s="4">
        <f>[1]Expense!N214</f>
        <v>10000</v>
      </c>
      <c r="J402" s="4">
        <f>[1]Expense!I214</f>
        <v>10000</v>
      </c>
      <c r="K402" s="4">
        <f>[2]Expense!K192</f>
        <v>5258.77</v>
      </c>
      <c r="L402" s="4">
        <v>2303.15</v>
      </c>
      <c r="M402" s="4">
        <v>2184.5100000000002</v>
      </c>
      <c r="N402" s="23">
        <f>(H402-J402)/J402</f>
        <v>0</v>
      </c>
      <c r="O402" s="24">
        <f>H402-J402</f>
        <v>0</v>
      </c>
    </row>
    <row r="403" spans="1:15" x14ac:dyDescent="0.25">
      <c r="C403" s="2" t="s">
        <v>302</v>
      </c>
      <c r="D403" s="2">
        <v>1</v>
      </c>
      <c r="E403" s="2">
        <v>10000</v>
      </c>
      <c r="F403" s="2">
        <v>10000</v>
      </c>
      <c r="G403" s="3"/>
      <c r="I403" s="4"/>
      <c r="N403" s="23"/>
      <c r="O403" s="24">
        <f>H403-J403</f>
        <v>0</v>
      </c>
    </row>
    <row r="404" spans="1:15" x14ac:dyDescent="0.25">
      <c r="C404" s="2" t="s">
        <v>303</v>
      </c>
      <c r="G404" s="3"/>
      <c r="I404" s="4"/>
      <c r="N404" s="23"/>
      <c r="O404" s="24">
        <f>H404-J404</f>
        <v>0</v>
      </c>
    </row>
    <row r="405" spans="1:15" x14ac:dyDescent="0.25">
      <c r="A405" s="2">
        <v>14211</v>
      </c>
      <c r="B405" s="2">
        <v>56112</v>
      </c>
      <c r="C405" s="2" t="s">
        <v>304</v>
      </c>
      <c r="G405" s="3"/>
      <c r="H405" s="4">
        <v>5550</v>
      </c>
      <c r="I405" s="4">
        <f>[1]Expense!N215</f>
        <v>5550</v>
      </c>
      <c r="J405" s="4">
        <f>[1]Expense!I215</f>
        <v>5550</v>
      </c>
      <c r="K405" s="4">
        <f>[2]Expense!K193</f>
        <v>4694.8599999999997</v>
      </c>
      <c r="L405" s="4">
        <v>4880.96</v>
      </c>
      <c r="M405" s="4">
        <v>4598.1099999999997</v>
      </c>
      <c r="N405" s="23">
        <f>(H405-J405)/J405</f>
        <v>0</v>
      </c>
      <c r="O405" s="24">
        <f>H405-J405</f>
        <v>0</v>
      </c>
    </row>
    <row r="406" spans="1:15" x14ac:dyDescent="0.25">
      <c r="C406" s="2" t="s">
        <v>305</v>
      </c>
      <c r="G406" s="3"/>
      <c r="I406" s="4"/>
      <c r="N406" s="23"/>
      <c r="O406" s="24">
        <f>H406-J406</f>
        <v>0</v>
      </c>
    </row>
    <row r="407" spans="1:15" x14ac:dyDescent="0.25">
      <c r="A407" s="2">
        <v>14211</v>
      </c>
      <c r="B407" s="2">
        <v>56115</v>
      </c>
      <c r="C407" s="2" t="s">
        <v>198</v>
      </c>
      <c r="G407" s="3"/>
      <c r="H407" s="4">
        <v>10000</v>
      </c>
      <c r="I407" s="4">
        <f>[1]Expense!N216</f>
        <v>14200</v>
      </c>
      <c r="J407" s="4">
        <f>[1]Expense!I216</f>
        <v>10000</v>
      </c>
      <c r="K407" s="4">
        <f>[2]Expense!K194</f>
        <v>6627.03</v>
      </c>
      <c r="L407" s="4">
        <v>6999</v>
      </c>
      <c r="M407" s="4">
        <v>4640.74</v>
      </c>
      <c r="N407" s="23">
        <f>(H407-J407)/J407</f>
        <v>0</v>
      </c>
      <c r="O407" s="24">
        <f>H407-J407</f>
        <v>0</v>
      </c>
    </row>
    <row r="408" spans="1:15" x14ac:dyDescent="0.25">
      <c r="C408" s="2" t="s">
        <v>306</v>
      </c>
      <c r="G408" s="3"/>
      <c r="I408" s="4"/>
      <c r="N408" s="23"/>
      <c r="O408" s="24">
        <f>H408-J408</f>
        <v>0</v>
      </c>
    </row>
    <row r="409" spans="1:15" x14ac:dyDescent="0.25">
      <c r="C409" s="2" t="s">
        <v>307</v>
      </c>
      <c r="G409" s="3"/>
      <c r="I409" s="4"/>
      <c r="N409" s="23"/>
      <c r="O409" s="24">
        <f>H409-J409</f>
        <v>0</v>
      </c>
    </row>
    <row r="410" spans="1:15" x14ac:dyDescent="0.25">
      <c r="A410" s="2">
        <v>14211</v>
      </c>
      <c r="B410" s="2">
        <v>56120</v>
      </c>
      <c r="C410" s="2" t="s">
        <v>308</v>
      </c>
      <c r="G410" s="3"/>
      <c r="H410" s="4">
        <v>500</v>
      </c>
      <c r="I410" s="4">
        <f>[1]Expense!N217</f>
        <v>500</v>
      </c>
      <c r="J410" s="4">
        <f>[1]Expense!I217</f>
        <v>500</v>
      </c>
      <c r="K410" s="4">
        <f>[2]Expense!K195</f>
        <v>345.09</v>
      </c>
      <c r="L410" s="4">
        <v>494.84</v>
      </c>
      <c r="M410" s="4">
        <v>318.14999999999998</v>
      </c>
      <c r="N410" s="23">
        <f>(H410-J410)/J410</f>
        <v>0</v>
      </c>
      <c r="O410" s="24">
        <f>H410-J410</f>
        <v>0</v>
      </c>
    </row>
    <row r="411" spans="1:15" x14ac:dyDescent="0.25">
      <c r="A411" s="2">
        <v>14211</v>
      </c>
      <c r="B411" s="2">
        <v>56125</v>
      </c>
      <c r="C411" s="2" t="s">
        <v>309</v>
      </c>
      <c r="G411" s="3"/>
      <c r="H411" s="4">
        <v>6600</v>
      </c>
      <c r="I411" s="4">
        <f>[1]Expense!N218</f>
        <v>6800</v>
      </c>
      <c r="J411" s="4">
        <f>[1]Expense!I218</f>
        <v>6600</v>
      </c>
      <c r="K411" s="4">
        <f>[2]Expense!K196</f>
        <v>6525.06</v>
      </c>
      <c r="L411" s="4">
        <v>6552.32</v>
      </c>
      <c r="M411" s="4">
        <v>6892.99</v>
      </c>
      <c r="N411" s="23">
        <f>(H411-J411)/J411</f>
        <v>0</v>
      </c>
      <c r="O411" s="24">
        <f>H411-J411</f>
        <v>0</v>
      </c>
    </row>
    <row r="412" spans="1:15" ht="78.75" x14ac:dyDescent="0.25">
      <c r="C412" s="29" t="s">
        <v>310</v>
      </c>
      <c r="G412" s="3"/>
      <c r="I412" s="4"/>
      <c r="N412" s="23"/>
      <c r="O412" s="24">
        <f>H412-J412</f>
        <v>0</v>
      </c>
    </row>
    <row r="413" spans="1:15" x14ac:dyDescent="0.25">
      <c r="A413" s="2">
        <v>14211</v>
      </c>
      <c r="B413" s="2">
        <v>56130</v>
      </c>
      <c r="C413" s="2" t="s">
        <v>311</v>
      </c>
      <c r="G413" s="3"/>
      <c r="H413" s="4">
        <v>2000</v>
      </c>
      <c r="I413" s="4"/>
      <c r="N413" s="23"/>
      <c r="O413" s="24">
        <f>H413-J413</f>
        <v>2000</v>
      </c>
    </row>
    <row r="414" spans="1:15" x14ac:dyDescent="0.25">
      <c r="A414" s="2">
        <v>14211</v>
      </c>
      <c r="B414" s="2">
        <v>56132</v>
      </c>
      <c r="C414" s="2" t="s">
        <v>312</v>
      </c>
      <c r="G414" s="3"/>
      <c r="H414" s="4">
        <v>6000</v>
      </c>
      <c r="I414" s="4">
        <f>[1]Expense!N219</f>
        <v>3000</v>
      </c>
      <c r="J414" s="4">
        <f>[1]Expense!I219</f>
        <v>6000</v>
      </c>
      <c r="K414" s="4">
        <f>[2]Expense!K197</f>
        <v>6227.22</v>
      </c>
      <c r="L414" s="4">
        <v>6387.04</v>
      </c>
      <c r="M414" s="4">
        <v>2104.6</v>
      </c>
      <c r="N414" s="23">
        <f>(H414-J414)/J414</f>
        <v>0</v>
      </c>
      <c r="O414" s="24">
        <f>H414-J414</f>
        <v>0</v>
      </c>
    </row>
    <row r="415" spans="1:15" x14ac:dyDescent="0.25">
      <c r="C415" s="2" t="s">
        <v>313</v>
      </c>
      <c r="G415" s="3"/>
      <c r="H415" s="4"/>
      <c r="I415" s="4"/>
      <c r="N415" s="23"/>
      <c r="O415" s="24">
        <f>H415-J415</f>
        <v>0</v>
      </c>
    </row>
    <row r="416" spans="1:15" x14ac:dyDescent="0.25">
      <c r="A416" s="2">
        <v>14211</v>
      </c>
      <c r="B416" s="2">
        <v>56200</v>
      </c>
      <c r="C416" s="2" t="s">
        <v>56</v>
      </c>
      <c r="G416" s="3"/>
      <c r="H416" s="4">
        <v>3185</v>
      </c>
      <c r="I416" s="4">
        <f>[1]Expense!N220</f>
        <v>3000</v>
      </c>
      <c r="J416" s="4">
        <f>[1]Expense!I220</f>
        <v>3185</v>
      </c>
      <c r="K416" s="4">
        <f>[2]Expense!K198</f>
        <v>2530.13</v>
      </c>
      <c r="L416" s="4">
        <v>2688.86</v>
      </c>
      <c r="M416" s="4">
        <v>3181.76</v>
      </c>
      <c r="N416" s="23">
        <f>(H416-J416)/J416</f>
        <v>0</v>
      </c>
      <c r="O416" s="24">
        <f>H416-J416</f>
        <v>0</v>
      </c>
    </row>
    <row r="417" spans="1:15" x14ac:dyDescent="0.25">
      <c r="A417" s="2">
        <v>14211</v>
      </c>
      <c r="B417" s="2">
        <v>56201</v>
      </c>
      <c r="C417" s="2" t="s">
        <v>314</v>
      </c>
      <c r="G417" s="3"/>
      <c r="H417" s="4">
        <v>1000</v>
      </c>
      <c r="I417" s="4">
        <f>[1]Expense!N221</f>
        <v>1000</v>
      </c>
      <c r="J417" s="4">
        <f>[1]Expense!I221</f>
        <v>1000</v>
      </c>
      <c r="K417" s="4">
        <f>[2]Expense!K199</f>
        <v>0</v>
      </c>
      <c r="N417" s="23">
        <f>(H417-J417)/J417</f>
        <v>0</v>
      </c>
      <c r="O417" s="24">
        <f>H417-J417</f>
        <v>0</v>
      </c>
    </row>
    <row r="418" spans="1:15" x14ac:dyDescent="0.25">
      <c r="A418" s="2">
        <v>14211</v>
      </c>
      <c r="B418" s="2">
        <v>56250</v>
      </c>
      <c r="C418" s="2" t="s">
        <v>57</v>
      </c>
      <c r="G418" s="3"/>
      <c r="H418" s="4">
        <v>2500</v>
      </c>
      <c r="I418" s="2">
        <f>[1]Expense!N222</f>
        <v>2600</v>
      </c>
      <c r="J418" s="4">
        <f>[1]Expense!I222</f>
        <v>2200</v>
      </c>
      <c r="K418" s="4">
        <f>[2]Expense!K200</f>
        <v>2709.83</v>
      </c>
      <c r="L418" s="4">
        <v>1961.59</v>
      </c>
      <c r="M418" s="4">
        <v>2238.02</v>
      </c>
      <c r="N418" s="23">
        <f>(H418-J418)/J418</f>
        <v>0.13636363636363635</v>
      </c>
      <c r="O418" s="24">
        <f>H418-J418</f>
        <v>300</v>
      </c>
    </row>
    <row r="419" spans="1:15" x14ac:dyDescent="0.25">
      <c r="A419" s="2">
        <v>14211</v>
      </c>
      <c r="B419" s="2">
        <v>56350</v>
      </c>
      <c r="C419" s="2" t="s">
        <v>200</v>
      </c>
      <c r="G419" s="3"/>
      <c r="H419" s="4">
        <v>25000</v>
      </c>
      <c r="I419" s="2">
        <f>[1]Expense!N223</f>
        <v>26000</v>
      </c>
      <c r="J419" s="4">
        <f>[1]Expense!I223</f>
        <v>25000</v>
      </c>
      <c r="K419" s="4">
        <f>[2]Expense!K201</f>
        <v>23454.31</v>
      </c>
      <c r="L419" s="4">
        <v>16945.810000000001</v>
      </c>
      <c r="M419" s="4">
        <v>10364.35</v>
      </c>
      <c r="N419" s="23">
        <f>(H419-J419)/J419</f>
        <v>0</v>
      </c>
      <c r="O419" s="24">
        <f>H419-J419</f>
        <v>0</v>
      </c>
    </row>
    <row r="420" spans="1:15" x14ac:dyDescent="0.25">
      <c r="A420" s="2">
        <v>14211</v>
      </c>
      <c r="B420" s="2">
        <v>56600</v>
      </c>
      <c r="C420" s="2" t="s">
        <v>203</v>
      </c>
      <c r="G420" s="3"/>
      <c r="H420" s="4">
        <v>10000</v>
      </c>
      <c r="I420" s="4">
        <f>[1]Expense!N224</f>
        <v>12200</v>
      </c>
      <c r="J420" s="4">
        <f>[1]Expense!I224</f>
        <v>10000</v>
      </c>
      <c r="K420" s="4">
        <f>[2]Expense!K202</f>
        <v>13533.73</v>
      </c>
      <c r="L420" s="4">
        <v>12940.8</v>
      </c>
      <c r="M420" s="4">
        <v>12950.6</v>
      </c>
      <c r="N420" s="23">
        <f>(H420-J420)/J420</f>
        <v>0</v>
      </c>
      <c r="O420" s="24">
        <f>H420-J420</f>
        <v>0</v>
      </c>
    </row>
    <row r="421" spans="1:15" x14ac:dyDescent="0.25">
      <c r="C421" s="2" t="s">
        <v>315</v>
      </c>
      <c r="D421" s="2">
        <v>1</v>
      </c>
      <c r="E421" s="2">
        <v>10000</v>
      </c>
      <c r="F421" s="2">
        <v>10000</v>
      </c>
      <c r="G421" s="3"/>
      <c r="I421" s="4"/>
      <c r="N421" s="23"/>
      <c r="O421" s="24">
        <f>H421-J421</f>
        <v>0</v>
      </c>
    </row>
    <row r="422" spans="1:15" x14ac:dyDescent="0.25">
      <c r="C422" s="2" t="s">
        <v>316</v>
      </c>
      <c r="G422" s="3"/>
      <c r="I422" s="4"/>
      <c r="N422" s="23"/>
      <c r="O422" s="24">
        <f>H422-J422</f>
        <v>0</v>
      </c>
    </row>
    <row r="423" spans="1:15" x14ac:dyDescent="0.25">
      <c r="C423" s="2" t="s">
        <v>317</v>
      </c>
      <c r="G423" s="3"/>
      <c r="I423" s="4"/>
      <c r="N423" s="23"/>
      <c r="O423" s="24">
        <f>H423-J423</f>
        <v>0</v>
      </c>
    </row>
    <row r="424" spans="1:15" x14ac:dyDescent="0.25">
      <c r="A424" s="2">
        <v>14211</v>
      </c>
      <c r="B424" s="2">
        <v>56670</v>
      </c>
      <c r="C424" s="2" t="s">
        <v>58</v>
      </c>
      <c r="G424" s="3"/>
      <c r="H424" s="4">
        <v>300</v>
      </c>
      <c r="I424" s="4">
        <f>[1]Expense!N225</f>
        <v>300</v>
      </c>
      <c r="J424" s="4">
        <f>[1]Expense!I225</f>
        <v>300</v>
      </c>
      <c r="K424" s="4">
        <f>[2]Expense!K203</f>
        <v>94.5</v>
      </c>
      <c r="L424" s="4">
        <v>0</v>
      </c>
      <c r="M424" s="4">
        <v>232.75</v>
      </c>
      <c r="N424" s="23">
        <f>(H424-J424)/J424</f>
        <v>0</v>
      </c>
      <c r="O424" s="24">
        <f>H424-J424</f>
        <v>0</v>
      </c>
    </row>
    <row r="425" spans="1:15" x14ac:dyDescent="0.25">
      <c r="C425" s="2" t="s">
        <v>318</v>
      </c>
      <c r="G425" s="3"/>
      <c r="I425" s="4"/>
      <c r="N425" s="23"/>
      <c r="O425" s="24">
        <f>H425-J425</f>
        <v>0</v>
      </c>
    </row>
    <row r="426" spans="1:15" x14ac:dyDescent="0.25">
      <c r="A426" s="2">
        <v>14211</v>
      </c>
      <c r="B426" s="2">
        <v>56680</v>
      </c>
      <c r="C426" s="2" t="s">
        <v>59</v>
      </c>
      <c r="G426" s="3"/>
      <c r="H426" s="3">
        <v>8501</v>
      </c>
      <c r="I426" s="4">
        <f>[1]Expense!N226</f>
        <v>9600</v>
      </c>
      <c r="J426" s="4">
        <f>[1]Expense!I226</f>
        <v>9600</v>
      </c>
      <c r="K426" s="4">
        <f>[2]Expense!K204</f>
        <v>14282.9</v>
      </c>
      <c r="L426" s="4">
        <v>16074.31</v>
      </c>
      <c r="M426" s="4">
        <v>6705.28</v>
      </c>
      <c r="N426" s="23">
        <f>(H426-J426)/J426</f>
        <v>-0.11447916666666667</v>
      </c>
      <c r="O426" s="24">
        <f>H426-J426</f>
        <v>-1099</v>
      </c>
    </row>
    <row r="427" spans="1:15" x14ac:dyDescent="0.25">
      <c r="C427" s="2" t="s">
        <v>319</v>
      </c>
      <c r="F427" s="2">
        <v>3000</v>
      </c>
      <c r="H427" s="2"/>
      <c r="I427" s="4"/>
      <c r="N427" s="23"/>
      <c r="O427" s="24">
        <f>H427-J427</f>
        <v>0</v>
      </c>
    </row>
    <row r="428" spans="1:15" x14ac:dyDescent="0.25">
      <c r="C428" s="2" t="s">
        <v>320</v>
      </c>
      <c r="D428" s="2">
        <v>4</v>
      </c>
      <c r="E428" s="2">
        <v>400</v>
      </c>
      <c r="F428" s="2">
        <v>1600</v>
      </c>
      <c r="H428" s="2"/>
      <c r="I428" s="4"/>
      <c r="N428" s="23"/>
      <c r="O428" s="24">
        <f>H428-J428</f>
        <v>0</v>
      </c>
    </row>
    <row r="429" spans="1:15" x14ac:dyDescent="0.25">
      <c r="C429" s="2" t="s">
        <v>321</v>
      </c>
      <c r="H429" s="2"/>
      <c r="I429" s="4"/>
      <c r="N429" s="23"/>
      <c r="O429" s="24">
        <f>H429-J429</f>
        <v>0</v>
      </c>
    </row>
    <row r="430" spans="1:15" x14ac:dyDescent="0.25">
      <c r="C430" s="2" t="s">
        <v>322</v>
      </c>
      <c r="H430" s="2"/>
      <c r="I430" s="4"/>
      <c r="N430" s="23"/>
      <c r="O430" s="24">
        <f>H430-J430</f>
        <v>0</v>
      </c>
    </row>
    <row r="431" spans="1:15" x14ac:dyDescent="0.25">
      <c r="C431" s="2" t="s">
        <v>323</v>
      </c>
      <c r="D431" s="2">
        <v>3</v>
      </c>
      <c r="E431" s="2">
        <v>800</v>
      </c>
      <c r="F431" s="2">
        <v>2400</v>
      </c>
      <c r="H431" s="2"/>
      <c r="I431" s="4"/>
      <c r="N431" s="23"/>
      <c r="O431" s="24">
        <f>H431-J431</f>
        <v>0</v>
      </c>
    </row>
    <row r="432" spans="1:15" x14ac:dyDescent="0.25">
      <c r="C432" s="2" t="s">
        <v>324</v>
      </c>
      <c r="D432" s="2">
        <v>2</v>
      </c>
      <c r="E432" s="2">
        <v>500</v>
      </c>
      <c r="F432" s="2">
        <v>1000</v>
      </c>
      <c r="H432" s="2"/>
      <c r="I432" s="4"/>
      <c r="N432" s="23"/>
      <c r="O432" s="24">
        <f>H432-J432</f>
        <v>0</v>
      </c>
    </row>
    <row r="433" spans="1:15" x14ac:dyDescent="0.25">
      <c r="C433" s="2" t="s">
        <v>325</v>
      </c>
      <c r="D433" s="2">
        <v>1</v>
      </c>
      <c r="E433" s="2">
        <v>501</v>
      </c>
      <c r="F433" s="2">
        <v>501</v>
      </c>
      <c r="H433" s="2"/>
      <c r="I433" s="4"/>
      <c r="N433" s="23"/>
      <c r="O433" s="24">
        <f>H433-J433</f>
        <v>0</v>
      </c>
    </row>
    <row r="434" spans="1:15" x14ac:dyDescent="0.25">
      <c r="A434" s="2">
        <v>14211</v>
      </c>
      <c r="B434" s="2">
        <v>56682</v>
      </c>
      <c r="C434" s="2" t="s">
        <v>326</v>
      </c>
      <c r="G434" s="3"/>
      <c r="H434" s="4">
        <v>15100</v>
      </c>
      <c r="I434" s="4"/>
      <c r="N434" s="23"/>
      <c r="O434" s="24">
        <f>H434-J434</f>
        <v>15100</v>
      </c>
    </row>
    <row r="435" spans="1:15" x14ac:dyDescent="0.25">
      <c r="C435" s="2" t="s">
        <v>327</v>
      </c>
      <c r="D435" s="2">
        <v>1</v>
      </c>
      <c r="E435" s="2">
        <v>15100</v>
      </c>
      <c r="F435" s="2">
        <v>15100</v>
      </c>
      <c r="G435" s="3"/>
      <c r="I435" s="4"/>
      <c r="N435" s="23"/>
      <c r="O435" s="24">
        <f>H435-J435</f>
        <v>0</v>
      </c>
    </row>
    <row r="436" spans="1:15" x14ac:dyDescent="0.25">
      <c r="C436" s="2" t="s">
        <v>328</v>
      </c>
      <c r="G436" s="3"/>
      <c r="I436" s="4"/>
      <c r="N436" s="23"/>
      <c r="O436" s="24">
        <f>H436-J436</f>
        <v>0</v>
      </c>
    </row>
    <row r="437" spans="1:15" x14ac:dyDescent="0.25">
      <c r="C437" s="2" t="s">
        <v>329</v>
      </c>
      <c r="G437" s="3"/>
      <c r="I437" s="4"/>
      <c r="N437" s="23"/>
      <c r="O437" s="24">
        <f>H437-J437</f>
        <v>0</v>
      </c>
    </row>
    <row r="438" spans="1:15" x14ac:dyDescent="0.25">
      <c r="A438" s="2">
        <v>14211</v>
      </c>
      <c r="B438" s="2">
        <v>57600</v>
      </c>
      <c r="C438" s="2" t="s">
        <v>330</v>
      </c>
      <c r="G438" s="3"/>
      <c r="H438" s="4">
        <v>80028</v>
      </c>
      <c r="I438" s="4">
        <f>[1]Expense!N227</f>
        <v>54702</v>
      </c>
      <c r="J438" s="4">
        <f>[1]Expense!I227</f>
        <v>54702</v>
      </c>
      <c r="K438" s="4">
        <f>[2]Expense!K205</f>
        <v>62956.480000000003</v>
      </c>
      <c r="L438" s="4">
        <v>69432.89</v>
      </c>
      <c r="M438" s="4">
        <v>46952.2</v>
      </c>
      <c r="N438" s="23">
        <f>(H438-J438)/J438</f>
        <v>0.46298124383020728</v>
      </c>
      <c r="O438" s="24">
        <f>H438-J438</f>
        <v>25326</v>
      </c>
    </row>
    <row r="439" spans="1:15" x14ac:dyDescent="0.25">
      <c r="C439" s="2" t="s">
        <v>331</v>
      </c>
      <c r="D439" s="2">
        <v>1</v>
      </c>
      <c r="E439" s="2">
        <v>19296</v>
      </c>
      <c r="F439" s="2">
        <v>19296</v>
      </c>
      <c r="G439" s="3"/>
      <c r="I439" s="4"/>
      <c r="N439" s="23"/>
      <c r="O439" s="24">
        <f>H439-J439</f>
        <v>0</v>
      </c>
    </row>
    <row r="440" spans="1:15" x14ac:dyDescent="0.25">
      <c r="C440" s="2" t="s">
        <v>332</v>
      </c>
      <c r="D440" s="2">
        <v>1</v>
      </c>
      <c r="E440" s="2">
        <v>16732</v>
      </c>
      <c r="F440" s="2">
        <v>16732</v>
      </c>
      <c r="G440" s="3"/>
      <c r="I440" s="4"/>
      <c r="N440" s="23"/>
      <c r="O440" s="24">
        <f>H440-J440</f>
        <v>0</v>
      </c>
    </row>
    <row r="441" spans="1:15" x14ac:dyDescent="0.25">
      <c r="C441" s="2" t="s">
        <v>333</v>
      </c>
      <c r="D441" s="2">
        <v>2</v>
      </c>
      <c r="E441" s="2">
        <v>22000</v>
      </c>
      <c r="F441" s="2">
        <v>44000</v>
      </c>
      <c r="G441" s="3"/>
      <c r="I441" s="4"/>
      <c r="N441" s="23"/>
      <c r="O441" s="24">
        <f>H441-J441</f>
        <v>0</v>
      </c>
    </row>
    <row r="442" spans="1:15" x14ac:dyDescent="0.25">
      <c r="C442" s="2" t="s">
        <v>334</v>
      </c>
      <c r="G442" s="3"/>
      <c r="I442" s="4"/>
      <c r="N442" s="23"/>
      <c r="O442" s="24">
        <f>H442-J442</f>
        <v>0</v>
      </c>
    </row>
    <row r="443" spans="1:15" x14ac:dyDescent="0.25">
      <c r="C443" s="2" t="s">
        <v>335</v>
      </c>
      <c r="G443" s="3"/>
      <c r="I443" s="4"/>
      <c r="N443" s="23"/>
      <c r="O443" s="24">
        <f>H443-J443</f>
        <v>0</v>
      </c>
    </row>
    <row r="444" spans="1:15" s="5" customFormat="1" x14ac:dyDescent="0.25">
      <c r="A444" s="5" t="s">
        <v>23</v>
      </c>
      <c r="B444" s="5" t="s">
        <v>336</v>
      </c>
      <c r="G444" s="21">
        <f t="shared" ref="G444:M444" si="8">SUM(G318:G438)</f>
        <v>0</v>
      </c>
      <c r="H444" s="21">
        <f>SUM(H318:H438)</f>
        <v>3113243</v>
      </c>
      <c r="I444" s="22">
        <f t="shared" si="8"/>
        <v>2664135.1100000003</v>
      </c>
      <c r="J444" s="22">
        <f t="shared" si="8"/>
        <v>2926624.6</v>
      </c>
      <c r="K444" s="22">
        <f t="shared" si="8"/>
        <v>2351306.9500000002</v>
      </c>
      <c r="L444" s="22">
        <f t="shared" si="8"/>
        <v>2201334.8700000006</v>
      </c>
      <c r="M444" s="22">
        <f t="shared" si="8"/>
        <v>2165731.0500000003</v>
      </c>
      <c r="N444" s="25">
        <f>(H444-J444)/J444</f>
        <v>6.3765745698987117E-2</v>
      </c>
      <c r="O444" s="26">
        <f>H444-J444</f>
        <v>186618.39999999991</v>
      </c>
    </row>
    <row r="445" spans="1:15" x14ac:dyDescent="0.25">
      <c r="I445" s="4">
        <f>[1]Expense!N229</f>
        <v>0</v>
      </c>
      <c r="J445" s="4">
        <f>[1]Expense!I229</f>
        <v>0</v>
      </c>
      <c r="K445" s="22"/>
      <c r="N445" s="23"/>
      <c r="O445" s="24">
        <f>H445-J445</f>
        <v>0</v>
      </c>
    </row>
    <row r="446" spans="1:15" s="5" customFormat="1" x14ac:dyDescent="0.25">
      <c r="A446" s="5">
        <v>14230</v>
      </c>
      <c r="B446" s="5" t="s">
        <v>337</v>
      </c>
      <c r="H446" s="21"/>
      <c r="I446" s="4">
        <f>[1]Expense!N230</f>
        <v>0</v>
      </c>
      <c r="J446" s="4">
        <f>[1]Expense!I230</f>
        <v>0</v>
      </c>
      <c r="K446" s="4"/>
      <c r="L446" s="22"/>
      <c r="M446" s="22"/>
      <c r="N446" s="23"/>
      <c r="O446" s="24">
        <f>H446-J446</f>
        <v>0</v>
      </c>
    </row>
    <row r="447" spans="1:15" x14ac:dyDescent="0.25">
      <c r="A447" s="2">
        <v>14230</v>
      </c>
      <c r="B447" s="2">
        <v>51100</v>
      </c>
      <c r="C447" s="2" t="s">
        <v>26</v>
      </c>
      <c r="G447" s="3"/>
      <c r="H447" s="3">
        <v>2630623</v>
      </c>
      <c r="I447" s="4">
        <f>[1]Expense!N231</f>
        <v>2398000</v>
      </c>
      <c r="J447" s="4">
        <f>[1]Expense!I231</f>
        <v>2462600</v>
      </c>
      <c r="K447" s="4">
        <f>[2]Expense!K209</f>
        <v>1796012.59</v>
      </c>
      <c r="L447" s="4">
        <v>1824470.43</v>
      </c>
      <c r="M447" s="4">
        <v>1988701.03</v>
      </c>
      <c r="N447" s="23">
        <f>(H447-J447)/J447</f>
        <v>6.8229919597173713E-2</v>
      </c>
      <c r="O447" s="24">
        <f>H447-J447</f>
        <v>168023</v>
      </c>
    </row>
    <row r="448" spans="1:15" x14ac:dyDescent="0.25">
      <c r="A448" s="2">
        <v>14230</v>
      </c>
      <c r="B448" s="2">
        <v>51200</v>
      </c>
      <c r="C448" s="2" t="s">
        <v>27</v>
      </c>
      <c r="G448" s="3"/>
      <c r="H448" s="3">
        <v>209500</v>
      </c>
      <c r="I448" s="4">
        <f>[1]Expense!N232</f>
        <v>185000</v>
      </c>
      <c r="J448" s="4">
        <f>[1]Expense!I232</f>
        <v>201100</v>
      </c>
      <c r="K448" s="4">
        <f>[2]Expense!K210</f>
        <v>180953.60000000001</v>
      </c>
      <c r="L448" s="4">
        <v>218979.8</v>
      </c>
      <c r="M448" s="4">
        <v>224675.6</v>
      </c>
      <c r="N448" s="23">
        <f>(H448-J448)/J448</f>
        <v>4.1770263550472399E-2</v>
      </c>
      <c r="O448" s="24">
        <f>H448-J448</f>
        <v>8400</v>
      </c>
    </row>
    <row r="449" spans="1:15" x14ac:dyDescent="0.25">
      <c r="A449" s="2">
        <v>14230</v>
      </c>
      <c r="B449" s="2">
        <v>51400</v>
      </c>
      <c r="C449" s="2" t="s">
        <v>29</v>
      </c>
      <c r="G449" s="3"/>
      <c r="H449" s="3">
        <v>92500</v>
      </c>
      <c r="I449" s="4">
        <f>[1]Expense!N233</f>
        <v>90000</v>
      </c>
      <c r="J449" s="4">
        <f>[1]Expense!I233</f>
        <v>90000</v>
      </c>
      <c r="K449" s="4">
        <f>[2]Expense!K211</f>
        <v>102928.66</v>
      </c>
      <c r="L449" s="4">
        <v>82952.53</v>
      </c>
      <c r="M449" s="4">
        <v>62959.54</v>
      </c>
      <c r="N449" s="23">
        <f>(H449-J449)/J449</f>
        <v>2.7777777777777776E-2</v>
      </c>
      <c r="O449" s="24">
        <f>H449-J449</f>
        <v>2500</v>
      </c>
    </row>
    <row r="450" spans="1:15" x14ac:dyDescent="0.25">
      <c r="A450" s="2">
        <v>14230</v>
      </c>
      <c r="B450" s="2">
        <v>51500</v>
      </c>
      <c r="C450" s="2" t="s">
        <v>245</v>
      </c>
      <c r="G450" s="3"/>
      <c r="H450" s="3">
        <v>98500</v>
      </c>
      <c r="I450" s="4">
        <f>[1]Expense!N234</f>
        <v>77759</v>
      </c>
      <c r="J450" s="4">
        <f>[1]Expense!I234</f>
        <v>36600</v>
      </c>
      <c r="K450" s="4">
        <f>[2]Expense!K212</f>
        <v>28791.13</v>
      </c>
      <c r="L450" s="4">
        <v>5192.83</v>
      </c>
      <c r="M450" s="4">
        <v>5875.8</v>
      </c>
      <c r="N450" s="23">
        <f>(H450-J450)/J450</f>
        <v>1.6912568306010929</v>
      </c>
      <c r="O450" s="24">
        <f>H450-J450</f>
        <v>61900</v>
      </c>
    </row>
    <row r="451" spans="1:15" x14ac:dyDescent="0.25">
      <c r="A451" s="2">
        <v>14230</v>
      </c>
      <c r="B451" s="2">
        <v>51510</v>
      </c>
      <c r="C451" s="2" t="s">
        <v>31</v>
      </c>
      <c r="G451" s="3"/>
      <c r="I451" s="4">
        <f>[1]Expense!N235</f>
        <v>665.04</v>
      </c>
      <c r="J451" s="4">
        <f>[1]Expense!I235</f>
        <v>667</v>
      </c>
      <c r="K451" s="4">
        <f>[2]Expense!K213</f>
        <v>1059.93</v>
      </c>
      <c r="L451" s="4">
        <v>8280.77</v>
      </c>
      <c r="M451" s="4">
        <v>6749.96</v>
      </c>
      <c r="N451" s="23">
        <f>(H451-J451)/J451</f>
        <v>-1</v>
      </c>
      <c r="O451" s="24">
        <f>H451-J451</f>
        <v>-667</v>
      </c>
    </row>
    <row r="452" spans="1:15" x14ac:dyDescent="0.25">
      <c r="A452" s="2">
        <v>14230</v>
      </c>
      <c r="B452" s="2">
        <v>51520</v>
      </c>
      <c r="C452" s="2" t="s">
        <v>32</v>
      </c>
      <c r="G452" s="3"/>
      <c r="H452" s="3">
        <v>7750</v>
      </c>
      <c r="I452" s="4">
        <f>[1]Expense!N236</f>
        <v>6000</v>
      </c>
      <c r="J452" s="4">
        <f>[1]Expense!I236</f>
        <v>5550</v>
      </c>
      <c r="K452" s="4">
        <f>[2]Expense!K214</f>
        <v>5010</v>
      </c>
      <c r="L452" s="4">
        <v>4730</v>
      </c>
      <c r="M452" s="4">
        <v>5130</v>
      </c>
      <c r="N452" s="23">
        <f>(H452-J452)/J452</f>
        <v>0.3963963963963964</v>
      </c>
      <c r="O452" s="24">
        <f>H452-J452</f>
        <v>2200</v>
      </c>
    </row>
    <row r="453" spans="1:15" x14ac:dyDescent="0.25">
      <c r="A453" s="2">
        <v>14230</v>
      </c>
      <c r="B453" s="2">
        <v>52100</v>
      </c>
      <c r="C453" s="2" t="s">
        <v>33</v>
      </c>
      <c r="G453" s="3"/>
      <c r="H453" s="3">
        <v>690000</v>
      </c>
      <c r="I453" s="4">
        <f>[1]Expense!N237</f>
        <v>620000</v>
      </c>
      <c r="J453" s="4">
        <f>[1]Expense!I237</f>
        <v>647100</v>
      </c>
      <c r="K453" s="4">
        <f>[2]Expense!K215</f>
        <v>565752.18000000005</v>
      </c>
      <c r="L453" s="4">
        <v>505690.18</v>
      </c>
      <c r="M453" s="4">
        <v>522868.61</v>
      </c>
      <c r="N453" s="23">
        <f>(H453-J453)/J453</f>
        <v>6.6295781177561422E-2</v>
      </c>
      <c r="O453" s="24">
        <f>H453-J453</f>
        <v>42900</v>
      </c>
    </row>
    <row r="454" spans="1:15" x14ac:dyDescent="0.25">
      <c r="A454" s="2">
        <v>14230</v>
      </c>
      <c r="B454" s="2">
        <v>52140</v>
      </c>
      <c r="C454" s="2" t="s">
        <v>34</v>
      </c>
      <c r="G454" s="3"/>
      <c r="H454" s="3">
        <v>15186</v>
      </c>
      <c r="I454" s="4">
        <f>[1]Expense!N238</f>
        <v>3030</v>
      </c>
      <c r="J454" s="4">
        <f>[1]Expense!I238</f>
        <v>3825</v>
      </c>
      <c r="N454" s="23">
        <f>(H454-J454)/J454</f>
        <v>2.9701960784313726</v>
      </c>
      <c r="O454" s="24">
        <f>H454-J454</f>
        <v>11361</v>
      </c>
    </row>
    <row r="455" spans="1:15" x14ac:dyDescent="0.25">
      <c r="A455" s="2">
        <v>14230</v>
      </c>
      <c r="B455" s="2">
        <v>52200</v>
      </c>
      <c r="C455" s="2" t="s">
        <v>35</v>
      </c>
      <c r="G455" s="3"/>
      <c r="H455" s="3">
        <v>65000</v>
      </c>
      <c r="I455" s="4">
        <f>[1]Expense!N239</f>
        <v>59600</v>
      </c>
      <c r="J455" s="4">
        <f>[1]Expense!I239</f>
        <v>60750</v>
      </c>
      <c r="K455" s="4">
        <f>[2]Expense!K216</f>
        <v>45785.94</v>
      </c>
      <c r="L455" s="4">
        <v>51856.77</v>
      </c>
      <c r="M455" s="4">
        <v>61459.11</v>
      </c>
      <c r="N455" s="23">
        <f>(H455-J455)/J455</f>
        <v>6.9958847736625515E-2</v>
      </c>
      <c r="O455" s="24">
        <f>H455-J455</f>
        <v>4250</v>
      </c>
    </row>
    <row r="456" spans="1:15" x14ac:dyDescent="0.25">
      <c r="A456" s="2">
        <v>14230</v>
      </c>
      <c r="B456" s="2">
        <v>52230</v>
      </c>
      <c r="C456" s="2" t="s">
        <v>36</v>
      </c>
      <c r="G456" s="3"/>
      <c r="H456" s="3">
        <v>860600</v>
      </c>
      <c r="I456" s="4">
        <f>[1]Expense!N240</f>
        <v>800000</v>
      </c>
      <c r="J456" s="4">
        <f>[1]Expense!I240</f>
        <v>828350</v>
      </c>
      <c r="K456" s="4">
        <f>[2]Expense!K217</f>
        <v>621119.25</v>
      </c>
      <c r="L456" s="4">
        <v>562956.56000000006</v>
      </c>
      <c r="M456" s="4">
        <v>543323.05000000005</v>
      </c>
      <c r="N456" s="23">
        <f>(H456-J456)/J456</f>
        <v>3.893281825315386E-2</v>
      </c>
      <c r="O456" s="24">
        <f>H456-J456</f>
        <v>32250</v>
      </c>
    </row>
    <row r="457" spans="1:15" x14ac:dyDescent="0.25">
      <c r="A457" s="2">
        <v>14230</v>
      </c>
      <c r="B457" s="2">
        <v>52250</v>
      </c>
      <c r="C457" s="2" t="s">
        <v>37</v>
      </c>
      <c r="G457" s="3"/>
      <c r="H457" s="3">
        <v>1592</v>
      </c>
      <c r="I457" s="4">
        <f>[1]Expense!N241</f>
        <v>1557.59</v>
      </c>
      <c r="J457" s="4">
        <f>[1]Expense!I241</f>
        <v>1558</v>
      </c>
      <c r="K457" s="4">
        <f>[2]Expense!K218</f>
        <v>1609.83</v>
      </c>
      <c r="L457" s="4">
        <v>1431.79</v>
      </c>
      <c r="M457" s="4">
        <v>1431.79</v>
      </c>
      <c r="N457" s="23">
        <f>(H457-J457)/J457</f>
        <v>2.1822849807445442E-2</v>
      </c>
      <c r="O457" s="24">
        <f>H457-J457</f>
        <v>34</v>
      </c>
    </row>
    <row r="458" spans="1:15" x14ac:dyDescent="0.25">
      <c r="A458" s="2">
        <v>14230</v>
      </c>
      <c r="B458" s="2">
        <v>52260</v>
      </c>
      <c r="C458" s="2" t="s">
        <v>38</v>
      </c>
      <c r="G458" s="3"/>
      <c r="H458" s="3">
        <v>45682</v>
      </c>
      <c r="I458" s="4">
        <f>[1]Expense!N242</f>
        <v>53862.55</v>
      </c>
      <c r="J458" s="4">
        <f>[1]Expense!I242</f>
        <v>53863</v>
      </c>
      <c r="K458" s="4">
        <f>[2]Expense!K219</f>
        <v>56606</v>
      </c>
      <c r="L458" s="4">
        <v>47710</v>
      </c>
      <c r="M458" s="4">
        <v>55594</v>
      </c>
      <c r="N458" s="23">
        <f>(H458-J458)/J458</f>
        <v>-0.15188533872974028</v>
      </c>
      <c r="O458" s="24">
        <f>H458-J458</f>
        <v>-8181</v>
      </c>
    </row>
    <row r="459" spans="1:15" x14ac:dyDescent="0.25">
      <c r="A459" s="2">
        <v>14230</v>
      </c>
      <c r="B459" s="2">
        <v>52280</v>
      </c>
      <c r="C459" s="2" t="s">
        <v>65</v>
      </c>
      <c r="G459" s="3"/>
      <c r="H459" s="3">
        <v>1000</v>
      </c>
      <c r="I459" s="4">
        <f>[1]Expense!N243</f>
        <v>500</v>
      </c>
      <c r="J459" s="4">
        <f>[1]Expense!I243</f>
        <v>1000</v>
      </c>
      <c r="K459" s="4">
        <f>[2]Expense!K220</f>
        <v>385.24</v>
      </c>
      <c r="N459" s="23">
        <f>(H459-J459)/J459</f>
        <v>0</v>
      </c>
      <c r="O459" s="24">
        <f>H459-J459</f>
        <v>0</v>
      </c>
    </row>
    <row r="460" spans="1:15" x14ac:dyDescent="0.25">
      <c r="C460" s="2" t="s">
        <v>338</v>
      </c>
      <c r="D460" s="2">
        <v>1</v>
      </c>
      <c r="E460" s="2">
        <v>1000</v>
      </c>
      <c r="F460" s="2">
        <v>1000</v>
      </c>
      <c r="G460" s="3"/>
      <c r="I460" s="4"/>
      <c r="N460" s="23"/>
      <c r="O460" s="24">
        <f>H460-J460</f>
        <v>0</v>
      </c>
    </row>
    <row r="461" spans="1:15" x14ac:dyDescent="0.25">
      <c r="C461" s="2" t="s">
        <v>339</v>
      </c>
      <c r="G461" s="3"/>
      <c r="I461" s="4"/>
      <c r="N461" s="23"/>
      <c r="O461" s="24">
        <f>H461-J461</f>
        <v>0</v>
      </c>
    </row>
    <row r="462" spans="1:15" x14ac:dyDescent="0.25">
      <c r="A462" s="2">
        <v>14230</v>
      </c>
      <c r="B462" s="2">
        <v>53000</v>
      </c>
      <c r="C462" s="2" t="s">
        <v>340</v>
      </c>
      <c r="G462" s="3"/>
      <c r="H462" s="3">
        <f>45375+64350</f>
        <v>109725</v>
      </c>
      <c r="I462" s="4">
        <f>[1]Expense!N244</f>
        <v>64350</v>
      </c>
      <c r="J462" s="4">
        <f>[1]Expense!I244</f>
        <v>64350</v>
      </c>
      <c r="K462" s="4">
        <f>[2]Expense!K221</f>
        <v>107250</v>
      </c>
      <c r="L462" s="4">
        <v>165446.78</v>
      </c>
      <c r="M462" s="4">
        <v>189920.05</v>
      </c>
      <c r="N462" s="23">
        <f>(H462-J462)/J462</f>
        <v>0.70512820512820518</v>
      </c>
      <c r="O462" s="24">
        <f>H462-J462</f>
        <v>45375</v>
      </c>
    </row>
    <row r="463" spans="1:15" x14ac:dyDescent="0.25">
      <c r="C463" s="2" t="s">
        <v>341</v>
      </c>
      <c r="G463" s="3"/>
      <c r="H463" s="4"/>
      <c r="I463" s="4"/>
      <c r="N463" s="23"/>
      <c r="O463" s="24">
        <f>H463-J463</f>
        <v>0</v>
      </c>
    </row>
    <row r="464" spans="1:15" x14ac:dyDescent="0.25">
      <c r="C464" s="2" t="s">
        <v>342</v>
      </c>
      <c r="G464" s="3"/>
      <c r="H464" s="4"/>
      <c r="I464" s="4"/>
      <c r="N464" s="23"/>
      <c r="O464" s="24">
        <f>H464-J464</f>
        <v>0</v>
      </c>
    </row>
    <row r="465" spans="1:15" x14ac:dyDescent="0.25">
      <c r="A465" s="2">
        <v>14230</v>
      </c>
      <c r="B465" s="2">
        <v>53001</v>
      </c>
      <c r="C465" s="2" t="s">
        <v>343</v>
      </c>
      <c r="G465" s="3"/>
      <c r="H465" s="4">
        <v>0</v>
      </c>
      <c r="I465" s="4">
        <f>[1]Expense!N245</f>
        <v>0</v>
      </c>
      <c r="J465" s="4">
        <f>[1]Expense!I245</f>
        <v>1000</v>
      </c>
      <c r="K465" s="4">
        <f>[2]Expense!K222</f>
        <v>0</v>
      </c>
      <c r="L465" s="4">
        <v>14200</v>
      </c>
      <c r="M465" s="4">
        <v>51315</v>
      </c>
      <c r="N465" s="23">
        <f>(H465-J465)/J465</f>
        <v>-1</v>
      </c>
      <c r="O465" s="24">
        <f>H465-J465</f>
        <v>-1000</v>
      </c>
    </row>
    <row r="466" spans="1:15" x14ac:dyDescent="0.25">
      <c r="C466" s="2" t="s">
        <v>344</v>
      </c>
      <c r="G466" s="3"/>
      <c r="H466" s="4"/>
      <c r="I466" s="4"/>
      <c r="N466" s="23"/>
      <c r="O466" s="24">
        <f>H466-J466</f>
        <v>0</v>
      </c>
    </row>
    <row r="467" spans="1:15" x14ac:dyDescent="0.25">
      <c r="C467" s="2" t="s">
        <v>345</v>
      </c>
      <c r="G467" s="3"/>
      <c r="H467" s="4"/>
      <c r="I467" s="4"/>
      <c r="N467" s="23"/>
      <c r="O467" s="24">
        <f>H467-J467</f>
        <v>0</v>
      </c>
    </row>
    <row r="468" spans="1:15" x14ac:dyDescent="0.25">
      <c r="C468" s="2" t="s">
        <v>346</v>
      </c>
      <c r="G468" s="3"/>
      <c r="H468" s="4"/>
      <c r="I468" s="4"/>
      <c r="N468" s="23"/>
      <c r="O468" s="24">
        <f>H468-J468</f>
        <v>0</v>
      </c>
    </row>
    <row r="469" spans="1:15" x14ac:dyDescent="0.25">
      <c r="A469" s="2">
        <v>14230</v>
      </c>
      <c r="B469" s="2">
        <v>53005</v>
      </c>
      <c r="C469" s="2" t="s">
        <v>347</v>
      </c>
      <c r="G469" s="3"/>
      <c r="H469" s="4">
        <v>3900</v>
      </c>
      <c r="I469" s="4">
        <f>[1]Expense!N246</f>
        <v>3900</v>
      </c>
      <c r="J469" s="4">
        <f>[1]Expense!I246</f>
        <v>3900</v>
      </c>
      <c r="K469" s="4">
        <f>[2]Expense!K223</f>
        <v>3900</v>
      </c>
      <c r="L469" s="4">
        <v>3900</v>
      </c>
      <c r="M469" s="4">
        <v>1950</v>
      </c>
      <c r="N469" s="23">
        <f>(H469-J469)/J469</f>
        <v>0</v>
      </c>
      <c r="O469" s="24">
        <f>H469-J469</f>
        <v>0</v>
      </c>
    </row>
    <row r="470" spans="1:15" x14ac:dyDescent="0.25">
      <c r="C470" s="2" t="s">
        <v>348</v>
      </c>
      <c r="D470" s="2">
        <v>12</v>
      </c>
      <c r="E470" s="2">
        <v>325</v>
      </c>
      <c r="F470" s="2">
        <v>3900</v>
      </c>
      <c r="G470" s="3"/>
      <c r="H470" s="4"/>
      <c r="I470" s="4"/>
      <c r="N470" s="23"/>
      <c r="O470" s="24">
        <f>H470-J470</f>
        <v>0</v>
      </c>
    </row>
    <row r="471" spans="1:15" x14ac:dyDescent="0.25">
      <c r="A471" s="2">
        <v>14230</v>
      </c>
      <c r="B471" s="2">
        <v>53006</v>
      </c>
      <c r="C471" s="2" t="s">
        <v>349</v>
      </c>
      <c r="G471" s="3"/>
      <c r="H471" s="4">
        <v>2000</v>
      </c>
      <c r="I471" s="4">
        <f>[1]Expense!N247</f>
        <v>1896</v>
      </c>
      <c r="J471" s="4">
        <f>[1]Expense!I247</f>
        <v>2745</v>
      </c>
      <c r="K471" s="4">
        <f>[2]Expense!K224</f>
        <v>1362</v>
      </c>
      <c r="N471" s="23">
        <f>(H471-J471)/J471</f>
        <v>-0.27140255009107467</v>
      </c>
      <c r="O471" s="24">
        <f>H471-J471</f>
        <v>-745</v>
      </c>
    </row>
    <row r="472" spans="1:15" x14ac:dyDescent="0.25">
      <c r="A472" s="2">
        <v>14230</v>
      </c>
      <c r="B472" s="2">
        <v>53301</v>
      </c>
      <c r="C472" s="2" t="s">
        <v>350</v>
      </c>
      <c r="G472" s="3"/>
      <c r="H472" s="4"/>
      <c r="I472" s="4"/>
      <c r="L472" s="4">
        <v>10171.36</v>
      </c>
      <c r="M472" s="4">
        <v>21670.25</v>
      </c>
      <c r="N472" s="23"/>
      <c r="O472" s="24">
        <f>H472-J472</f>
        <v>0</v>
      </c>
    </row>
    <row r="473" spans="1:15" x14ac:dyDescent="0.25">
      <c r="A473" s="2">
        <v>14230</v>
      </c>
      <c r="B473" s="2">
        <v>53410</v>
      </c>
      <c r="C473" s="2" t="s">
        <v>40</v>
      </c>
      <c r="G473" s="3"/>
      <c r="H473" s="4">
        <f>SUM(F474:F476)</f>
        <v>3655</v>
      </c>
      <c r="I473" s="4">
        <f>[1]Expense!N248</f>
        <v>3360</v>
      </c>
      <c r="J473" s="4">
        <f>[1]Expense!I248</f>
        <v>3284</v>
      </c>
      <c r="K473" s="4">
        <f>[2]Expense!K225</f>
        <v>3251.74</v>
      </c>
      <c r="L473" s="4">
        <v>3473.04</v>
      </c>
      <c r="M473" s="4">
        <v>3527.09</v>
      </c>
      <c r="N473" s="23">
        <f>(H473-J473)/J473</f>
        <v>0.11297198538367845</v>
      </c>
      <c r="O473" s="24">
        <f>H473-J473</f>
        <v>371</v>
      </c>
    </row>
    <row r="474" spans="1:15" x14ac:dyDescent="0.25">
      <c r="C474" s="2" t="s">
        <v>351</v>
      </c>
      <c r="D474" s="2">
        <v>1</v>
      </c>
      <c r="E474" s="2">
        <v>1867</v>
      </c>
      <c r="F474" s="2">
        <f>D474*E474</f>
        <v>1867</v>
      </c>
      <c r="G474" s="3"/>
      <c r="I474" s="4"/>
      <c r="N474" s="23"/>
      <c r="O474" s="24">
        <f>H474-J474</f>
        <v>0</v>
      </c>
    </row>
    <row r="475" spans="1:15" x14ac:dyDescent="0.25">
      <c r="C475" s="2" t="s">
        <v>352</v>
      </c>
      <c r="D475" s="2">
        <v>12</v>
      </c>
      <c r="E475" s="2">
        <v>84</v>
      </c>
      <c r="F475" s="2">
        <f>D475*E475</f>
        <v>1008</v>
      </c>
      <c r="G475" s="3"/>
      <c r="I475" s="4"/>
      <c r="N475" s="23"/>
      <c r="O475" s="24">
        <f>H475-J475</f>
        <v>0</v>
      </c>
    </row>
    <row r="476" spans="1:15" x14ac:dyDescent="0.25">
      <c r="C476" s="2" t="s">
        <v>353</v>
      </c>
      <c r="D476" s="2">
        <v>52</v>
      </c>
      <c r="E476" s="2">
        <v>15</v>
      </c>
      <c r="F476" s="2">
        <f t="shared" ref="F476" si="9">D476*E476</f>
        <v>780</v>
      </c>
      <c r="G476" s="3"/>
      <c r="I476" s="4"/>
      <c r="N476" s="23"/>
      <c r="O476" s="24">
        <f>H476-J476</f>
        <v>0</v>
      </c>
    </row>
    <row r="477" spans="1:15" x14ac:dyDescent="0.25">
      <c r="A477" s="2">
        <v>14230</v>
      </c>
      <c r="B477" s="2">
        <v>53412</v>
      </c>
      <c r="C477" s="2" t="s">
        <v>354</v>
      </c>
      <c r="G477" s="3"/>
      <c r="H477" s="4">
        <v>1350</v>
      </c>
      <c r="I477" s="4">
        <f>[1]Expense!N249</f>
        <v>3002</v>
      </c>
      <c r="J477" s="4">
        <f>[1]Expense!I249</f>
        <v>3215</v>
      </c>
      <c r="K477" s="4">
        <f>[2]Expense!K226</f>
        <v>3001.08</v>
      </c>
      <c r="L477" s="4">
        <v>2840.7</v>
      </c>
      <c r="M477" s="4">
        <v>2750.44</v>
      </c>
      <c r="N477" s="23">
        <f>(H477-J477)/J477</f>
        <v>-0.58009331259720065</v>
      </c>
      <c r="O477" s="24">
        <f>H477-J477</f>
        <v>-1865</v>
      </c>
    </row>
    <row r="478" spans="1:15" x14ac:dyDescent="0.25">
      <c r="A478" s="2">
        <v>14230</v>
      </c>
      <c r="B478" s="2">
        <v>53425</v>
      </c>
      <c r="C478" s="2" t="s">
        <v>44</v>
      </c>
      <c r="G478" s="3"/>
      <c r="H478" s="4">
        <v>600</v>
      </c>
      <c r="I478" s="4">
        <f>[1]Expense!N250</f>
        <v>800</v>
      </c>
      <c r="J478" s="4">
        <f>[1]Expense!I250</f>
        <v>600</v>
      </c>
      <c r="K478" s="4">
        <f>[2]Expense!K227</f>
        <v>588</v>
      </c>
      <c r="N478" s="23">
        <f>(H478-J478)/J478</f>
        <v>0</v>
      </c>
      <c r="O478" s="24">
        <f>H478-J478</f>
        <v>0</v>
      </c>
    </row>
    <row r="479" spans="1:15" x14ac:dyDescent="0.25">
      <c r="C479" s="2" t="s">
        <v>355</v>
      </c>
      <c r="D479" s="2">
        <v>12</v>
      </c>
      <c r="E479" s="2">
        <v>50</v>
      </c>
      <c r="F479" s="2">
        <v>600</v>
      </c>
      <c r="G479" s="3"/>
      <c r="I479" s="4"/>
      <c r="N479" s="23"/>
      <c r="O479" s="24">
        <f>H479-J479</f>
        <v>0</v>
      </c>
    </row>
    <row r="480" spans="1:15" x14ac:dyDescent="0.25">
      <c r="A480" s="2">
        <v>14230</v>
      </c>
      <c r="B480" s="2">
        <v>53500</v>
      </c>
      <c r="C480" s="2" t="s">
        <v>356</v>
      </c>
      <c r="G480" s="3"/>
      <c r="I480" s="4"/>
      <c r="L480" s="4">
        <v>59994.62</v>
      </c>
      <c r="M480" s="4">
        <v>200236.34</v>
      </c>
      <c r="N480" s="23"/>
      <c r="O480" s="24">
        <f>H480-J480</f>
        <v>0</v>
      </c>
    </row>
    <row r="481" spans="1:15" x14ac:dyDescent="0.25">
      <c r="A481" s="2">
        <v>14230</v>
      </c>
      <c r="B481" s="2">
        <v>53502</v>
      </c>
      <c r="C481" s="2" t="s">
        <v>357</v>
      </c>
      <c r="G481" s="3"/>
      <c r="H481" s="4">
        <f>SUM(F482:F483)</f>
        <v>811075</v>
      </c>
      <c r="I481" s="4">
        <f>[1]Expense!N251</f>
        <v>766065</v>
      </c>
      <c r="J481" s="4">
        <f>[1]Expense!I251</f>
        <v>797430</v>
      </c>
      <c r="K481" s="4">
        <f>[2]Expense!K228</f>
        <v>770776.83</v>
      </c>
      <c r="L481" s="4">
        <v>403494.49</v>
      </c>
      <c r="N481" s="23">
        <f>(H481-J481)/J481</f>
        <v>1.7111219793586898E-2</v>
      </c>
      <c r="O481" s="24">
        <f>H481-J481</f>
        <v>13645</v>
      </c>
    </row>
    <row r="482" spans="1:15" x14ac:dyDescent="0.25">
      <c r="C482" s="2" t="s">
        <v>358</v>
      </c>
      <c r="F482" s="2">
        <v>796075</v>
      </c>
      <c r="G482" s="3"/>
      <c r="I482" s="4"/>
      <c r="N482" s="23"/>
      <c r="O482" s="24">
        <f>H482-J482</f>
        <v>0</v>
      </c>
    </row>
    <row r="483" spans="1:15" x14ac:dyDescent="0.25">
      <c r="C483" s="2" t="s">
        <v>359</v>
      </c>
      <c r="F483" s="2">
        <v>15000</v>
      </c>
      <c r="G483" s="3"/>
      <c r="I483" s="4"/>
      <c r="N483" s="23"/>
      <c r="O483" s="24">
        <f>H483-J483</f>
        <v>0</v>
      </c>
    </row>
    <row r="484" spans="1:15" x14ac:dyDescent="0.25">
      <c r="A484" s="2">
        <v>14230</v>
      </c>
      <c r="B484" s="2">
        <v>53550</v>
      </c>
      <c r="C484" s="2" t="s">
        <v>360</v>
      </c>
      <c r="G484" s="3"/>
      <c r="I484" s="4"/>
      <c r="L484" s="4">
        <v>20550</v>
      </c>
      <c r="M484" s="4">
        <v>50847.25</v>
      </c>
      <c r="N484" s="23"/>
      <c r="O484" s="24">
        <f>H484-J484</f>
        <v>0</v>
      </c>
    </row>
    <row r="485" spans="1:15" x14ac:dyDescent="0.25">
      <c r="A485" s="2">
        <v>14230</v>
      </c>
      <c r="B485" s="2">
        <v>53600</v>
      </c>
      <c r="C485" s="2" t="s">
        <v>168</v>
      </c>
      <c r="G485" s="3"/>
      <c r="H485" s="4">
        <v>17000</v>
      </c>
      <c r="I485" s="4">
        <f>[1]Expense!N252</f>
        <v>14000</v>
      </c>
      <c r="J485" s="4">
        <f>[1]Expense!I252</f>
        <v>17000</v>
      </c>
      <c r="K485" s="4">
        <f>[2]Expense!K229</f>
        <v>15373.73</v>
      </c>
      <c r="L485" s="3">
        <v>14839.11</v>
      </c>
      <c r="M485" s="3">
        <v>18632.560000000001</v>
      </c>
      <c r="N485" s="23">
        <f>(H485-J485)/J485</f>
        <v>0</v>
      </c>
      <c r="O485" s="24">
        <f>H485-J485</f>
        <v>0</v>
      </c>
    </row>
    <row r="486" spans="1:15" x14ac:dyDescent="0.25">
      <c r="A486" s="2">
        <v>14230</v>
      </c>
      <c r="B486" s="2">
        <v>53704</v>
      </c>
      <c r="C486" s="2" t="s">
        <v>361</v>
      </c>
      <c r="G486" s="3"/>
      <c r="H486" s="4">
        <v>0</v>
      </c>
      <c r="I486" s="4">
        <f>[1]Expense!N253</f>
        <v>0</v>
      </c>
      <c r="J486" s="4">
        <f>[1]Expense!I253</f>
        <v>2500</v>
      </c>
      <c r="K486" s="4">
        <f>[2]Expense!K230</f>
        <v>0</v>
      </c>
      <c r="L486" s="4">
        <v>4520</v>
      </c>
      <c r="M486" s="4">
        <v>58480</v>
      </c>
      <c r="N486" s="23">
        <f>(H486-J486)/J486</f>
        <v>-1</v>
      </c>
      <c r="O486" s="24">
        <f>H486-J486</f>
        <v>-2500</v>
      </c>
    </row>
    <row r="487" spans="1:15" x14ac:dyDescent="0.25">
      <c r="C487" s="2" t="s">
        <v>362</v>
      </c>
      <c r="G487" s="3"/>
      <c r="I487" s="4"/>
      <c r="N487" s="23"/>
      <c r="O487" s="24">
        <f>H487-J487</f>
        <v>0</v>
      </c>
    </row>
    <row r="488" spans="1:15" x14ac:dyDescent="0.25">
      <c r="C488" s="2" t="s">
        <v>363</v>
      </c>
      <c r="G488" s="3"/>
      <c r="I488" s="4"/>
      <c r="N488" s="23"/>
      <c r="O488" s="24">
        <f>H488-J488</f>
        <v>0</v>
      </c>
    </row>
    <row r="489" spans="1:15" x14ac:dyDescent="0.25">
      <c r="C489" s="2" t="s">
        <v>364</v>
      </c>
      <c r="G489" s="3"/>
      <c r="I489" s="4"/>
      <c r="N489" s="23"/>
      <c r="O489" s="24">
        <f>H489-J489</f>
        <v>0</v>
      </c>
    </row>
    <row r="490" spans="1:15" x14ac:dyDescent="0.25">
      <c r="A490" s="2">
        <v>14230</v>
      </c>
      <c r="B490" s="2">
        <v>53910</v>
      </c>
      <c r="C490" s="2" t="s">
        <v>365</v>
      </c>
      <c r="G490" s="3"/>
      <c r="H490" s="4">
        <v>3250</v>
      </c>
      <c r="I490" s="4">
        <f>[1]Expense!N254</f>
        <v>2800</v>
      </c>
      <c r="J490" s="4">
        <f>[1]Expense!I254</f>
        <v>3780</v>
      </c>
      <c r="K490" s="4">
        <f>[2]Expense!K231</f>
        <v>2313.0500000000002</v>
      </c>
      <c r="L490" s="4">
        <v>2565.6999999999998</v>
      </c>
      <c r="M490" s="4">
        <v>2589.5500000000002</v>
      </c>
      <c r="N490" s="23">
        <f>(H490-J490)/J490</f>
        <v>-0.1402116402116402</v>
      </c>
      <c r="O490" s="24">
        <f>H490-J490</f>
        <v>-530</v>
      </c>
    </row>
    <row r="491" spans="1:15" x14ac:dyDescent="0.25">
      <c r="A491" s="2">
        <v>14230</v>
      </c>
      <c r="B491" s="2">
        <v>53915</v>
      </c>
      <c r="C491" s="2" t="s">
        <v>366</v>
      </c>
      <c r="G491" s="3"/>
      <c r="H491" s="3">
        <v>210000</v>
      </c>
      <c r="I491" s="4">
        <f>[1]Expense!N255</f>
        <v>200000</v>
      </c>
      <c r="J491" s="4">
        <f>[1]Expense!I255</f>
        <v>200000</v>
      </c>
      <c r="K491" s="4">
        <f>[2]Expense!K232</f>
        <v>172866.8</v>
      </c>
      <c r="L491" s="4">
        <v>160204.21</v>
      </c>
      <c r="M491" s="4">
        <v>132239.18</v>
      </c>
      <c r="N491" s="23">
        <f>(H491-J491)/J491</f>
        <v>0.05</v>
      </c>
      <c r="O491" s="24">
        <f>H491-J491</f>
        <v>10000</v>
      </c>
    </row>
    <row r="492" spans="1:15" x14ac:dyDescent="0.25">
      <c r="C492" s="2" t="s">
        <v>367</v>
      </c>
      <c r="D492" s="2">
        <v>76650</v>
      </c>
      <c r="E492" s="2">
        <v>2.83</v>
      </c>
      <c r="F492" s="2">
        <v>216920</v>
      </c>
      <c r="G492" s="3"/>
      <c r="I492" s="4"/>
      <c r="N492" s="23"/>
      <c r="O492" s="24">
        <f>H492-J492</f>
        <v>0</v>
      </c>
    </row>
    <row r="493" spans="1:15" x14ac:dyDescent="0.25">
      <c r="C493" s="2" t="s">
        <v>368</v>
      </c>
      <c r="D493" s="2">
        <v>1</v>
      </c>
      <c r="E493" s="2">
        <v>3000</v>
      </c>
      <c r="F493" s="2">
        <v>3000</v>
      </c>
      <c r="G493" s="3"/>
      <c r="I493" s="4"/>
      <c r="N493" s="23"/>
      <c r="O493" s="24">
        <f>H493-J493</f>
        <v>0</v>
      </c>
    </row>
    <row r="494" spans="1:15" x14ac:dyDescent="0.25">
      <c r="C494" s="2" t="s">
        <v>369</v>
      </c>
      <c r="G494" s="3"/>
      <c r="I494" s="4"/>
      <c r="N494" s="23"/>
      <c r="O494" s="24">
        <f>H494-J494</f>
        <v>0</v>
      </c>
    </row>
    <row r="495" spans="1:15" x14ac:dyDescent="0.25">
      <c r="A495" s="2">
        <v>14230</v>
      </c>
      <c r="B495" s="2">
        <v>54350</v>
      </c>
      <c r="C495" s="2" t="s">
        <v>50</v>
      </c>
      <c r="G495" s="3"/>
      <c r="H495" s="3">
        <f>SUM(F496:F497)</f>
        <v>1000</v>
      </c>
      <c r="I495" s="4">
        <f>[1]Expense!N256</f>
        <v>5000</v>
      </c>
      <c r="J495" s="4">
        <f>[1]Expense!I256</f>
        <v>500</v>
      </c>
      <c r="K495" s="4">
        <f>[2]Expense!K233</f>
        <v>2043.07</v>
      </c>
      <c r="L495" s="4">
        <v>237.83</v>
      </c>
      <c r="M495" s="4">
        <v>11.24</v>
      </c>
      <c r="N495" s="23">
        <f>(H495-J495)/J495</f>
        <v>1</v>
      </c>
      <c r="O495" s="24">
        <f>H495-J495</f>
        <v>500</v>
      </c>
    </row>
    <row r="496" spans="1:15" x14ac:dyDescent="0.25">
      <c r="C496" s="2" t="s">
        <v>370</v>
      </c>
      <c r="F496" s="2">
        <v>500</v>
      </c>
      <c r="G496" s="3"/>
      <c r="I496" s="4"/>
      <c r="N496" s="23"/>
      <c r="O496" s="24">
        <f>H496-J496</f>
        <v>0</v>
      </c>
    </row>
    <row r="497" spans="1:15" x14ac:dyDescent="0.25">
      <c r="C497" s="2" t="s">
        <v>371</v>
      </c>
      <c r="F497" s="2">
        <v>500</v>
      </c>
      <c r="G497" s="3"/>
      <c r="I497" s="4"/>
      <c r="N497" s="23"/>
      <c r="O497" s="24">
        <f>H497-J497</f>
        <v>0</v>
      </c>
    </row>
    <row r="498" spans="1:15" x14ac:dyDescent="0.25">
      <c r="A498" s="2">
        <v>14230</v>
      </c>
      <c r="B498" s="2">
        <v>54352</v>
      </c>
      <c r="C498" s="2" t="s">
        <v>118</v>
      </c>
      <c r="G498" s="3"/>
      <c r="H498" s="3">
        <v>2200</v>
      </c>
      <c r="I498" s="4">
        <f>[1]Expense!N257</f>
        <v>4200</v>
      </c>
      <c r="J498" s="4">
        <f>[1]Expense!I257</f>
        <v>1700</v>
      </c>
      <c r="K498" s="4">
        <f>[2]Expense!K234</f>
        <v>15450</v>
      </c>
      <c r="L498" s="4">
        <v>20685.54</v>
      </c>
      <c r="M498" s="4">
        <v>19746.87</v>
      </c>
      <c r="N498" s="23">
        <f>(H498-J498)/J498</f>
        <v>0.29411764705882354</v>
      </c>
      <c r="O498" s="24">
        <f>H498-J498</f>
        <v>500</v>
      </c>
    </row>
    <row r="499" spans="1:15" x14ac:dyDescent="0.25">
      <c r="C499" s="2" t="s">
        <v>372</v>
      </c>
      <c r="F499" s="2">
        <v>1700</v>
      </c>
      <c r="G499" s="3"/>
      <c r="I499" s="4"/>
      <c r="N499" s="23"/>
      <c r="O499" s="24">
        <f>H499-J499</f>
        <v>0</v>
      </c>
    </row>
    <row r="500" spans="1:15" x14ac:dyDescent="0.25">
      <c r="C500" s="2" t="s">
        <v>373</v>
      </c>
      <c r="F500" s="2">
        <v>500</v>
      </c>
      <c r="G500" s="3"/>
      <c r="I500" s="4"/>
      <c r="N500" s="23"/>
      <c r="O500" s="24">
        <f>H500-J500</f>
        <v>0</v>
      </c>
    </row>
    <row r="501" spans="1:15" x14ac:dyDescent="0.25">
      <c r="A501" s="2">
        <v>14230</v>
      </c>
      <c r="B501" s="2">
        <v>54353</v>
      </c>
      <c r="C501" s="2" t="s">
        <v>51</v>
      </c>
      <c r="G501" s="3"/>
      <c r="H501" s="4">
        <v>4440</v>
      </c>
      <c r="I501" s="4">
        <f>[1]Expense!N258</f>
        <v>4200</v>
      </c>
      <c r="J501" s="4">
        <f>[1]Expense!I258</f>
        <v>3900</v>
      </c>
      <c r="K501" s="4">
        <f>[2]Expense!K235</f>
        <v>3933.89</v>
      </c>
      <c r="L501" s="4">
        <v>5224.54</v>
      </c>
      <c r="M501" s="4">
        <v>5792.36</v>
      </c>
      <c r="N501" s="23">
        <f>(H501-J501)/J501</f>
        <v>0.13846153846153847</v>
      </c>
      <c r="O501" s="24">
        <f>H501-J501</f>
        <v>540</v>
      </c>
    </row>
    <row r="502" spans="1:15" x14ac:dyDescent="0.25">
      <c r="A502" s="2">
        <v>14230</v>
      </c>
      <c r="B502" s="2">
        <v>54800</v>
      </c>
      <c r="C502" s="2" t="s">
        <v>52</v>
      </c>
      <c r="G502" s="3"/>
      <c r="H502" s="3">
        <v>15877</v>
      </c>
      <c r="I502" s="4">
        <f>[1]Expense!N259</f>
        <v>13478</v>
      </c>
      <c r="J502" s="4">
        <f>[1]Expense!I259</f>
        <v>13478</v>
      </c>
      <c r="K502" s="4">
        <f>[2]Expense!K236</f>
        <v>12252.44</v>
      </c>
      <c r="L502" s="4">
        <v>11450.84</v>
      </c>
      <c r="M502" s="4">
        <v>10701.7</v>
      </c>
      <c r="N502" s="23">
        <f>(H502-J502)/J502</f>
        <v>0.17799376762130881</v>
      </c>
      <c r="O502" s="24">
        <f>H502-J502</f>
        <v>2399</v>
      </c>
    </row>
    <row r="503" spans="1:15" x14ac:dyDescent="0.25">
      <c r="A503" s="2">
        <v>14230</v>
      </c>
      <c r="B503" s="2">
        <v>55200</v>
      </c>
      <c r="C503" s="2" t="s">
        <v>291</v>
      </c>
      <c r="G503" s="3"/>
      <c r="I503" s="4">
        <f>[1]Expense!N260</f>
        <v>140</v>
      </c>
      <c r="J503" s="4">
        <f>[1]Expense!I260</f>
        <v>0</v>
      </c>
      <c r="K503" s="4">
        <f>[2]Expense!K237</f>
        <v>975</v>
      </c>
      <c r="L503" s="4">
        <v>975</v>
      </c>
      <c r="M503" s="4">
        <v>52682.5</v>
      </c>
      <c r="N503" s="23"/>
      <c r="O503" s="24">
        <f>H503-J503</f>
        <v>0</v>
      </c>
    </row>
    <row r="504" spans="1:15" x14ac:dyDescent="0.25">
      <c r="A504" s="2">
        <v>14230</v>
      </c>
      <c r="B504" s="2">
        <v>55600</v>
      </c>
      <c r="C504" s="2" t="s">
        <v>77</v>
      </c>
      <c r="G504" s="3"/>
      <c r="H504" s="3">
        <v>3385</v>
      </c>
      <c r="I504" s="4">
        <f>[1]Expense!N261</f>
        <v>3410</v>
      </c>
      <c r="J504" s="4">
        <f>[1]Expense!I261</f>
        <v>3385</v>
      </c>
      <c r="K504" s="4">
        <f>[2]Expense!K238</f>
        <v>3679</v>
      </c>
      <c r="L504" s="4">
        <v>6700</v>
      </c>
      <c r="M504" s="4">
        <v>4279</v>
      </c>
      <c r="N504" s="23">
        <f>(H504-J504)/J504</f>
        <v>0</v>
      </c>
      <c r="O504" s="24">
        <f>H504-J504</f>
        <v>0</v>
      </c>
    </row>
    <row r="505" spans="1:15" x14ac:dyDescent="0.25">
      <c r="C505" s="2" t="s">
        <v>374</v>
      </c>
      <c r="D505" s="2">
        <v>1</v>
      </c>
      <c r="E505" s="2">
        <v>3200</v>
      </c>
      <c r="F505" s="2">
        <v>3200</v>
      </c>
      <c r="G505" s="3"/>
      <c r="I505" s="4"/>
      <c r="N505" s="23"/>
      <c r="O505" s="24">
        <f>H505-J505</f>
        <v>0</v>
      </c>
    </row>
    <row r="506" spans="1:15" x14ac:dyDescent="0.25">
      <c r="C506" s="2" t="s">
        <v>375</v>
      </c>
      <c r="G506" s="3"/>
      <c r="I506" s="4"/>
      <c r="N506" s="23"/>
      <c r="O506" s="24">
        <f>H506-J506</f>
        <v>0</v>
      </c>
    </row>
    <row r="507" spans="1:15" x14ac:dyDescent="0.25">
      <c r="C507" s="2" t="s">
        <v>376</v>
      </c>
      <c r="G507" s="3"/>
      <c r="I507" s="4"/>
      <c r="N507" s="23"/>
      <c r="O507" s="24">
        <f>H507-J507</f>
        <v>0</v>
      </c>
    </row>
    <row r="508" spans="1:15" x14ac:dyDescent="0.25">
      <c r="C508" s="2" t="s">
        <v>377</v>
      </c>
      <c r="G508" s="3"/>
      <c r="I508" s="4"/>
      <c r="N508" s="23"/>
      <c r="O508" s="24">
        <f>H508-J508</f>
        <v>0</v>
      </c>
    </row>
    <row r="509" spans="1:15" x14ac:dyDescent="0.25">
      <c r="C509" s="2" t="s">
        <v>378</v>
      </c>
      <c r="D509" s="2">
        <v>1</v>
      </c>
      <c r="E509" s="2">
        <v>35</v>
      </c>
      <c r="F509" s="2">
        <v>35</v>
      </c>
      <c r="G509" s="3"/>
      <c r="I509" s="4"/>
      <c r="N509" s="23"/>
      <c r="O509" s="24">
        <f>H509-J509</f>
        <v>0</v>
      </c>
    </row>
    <row r="510" spans="1:15" x14ac:dyDescent="0.25">
      <c r="C510" s="2" t="s">
        <v>379</v>
      </c>
      <c r="D510" s="2">
        <v>2</v>
      </c>
      <c r="E510" s="2">
        <v>75</v>
      </c>
      <c r="F510" s="2">
        <v>150</v>
      </c>
      <c r="G510" s="3"/>
      <c r="I510" s="4"/>
      <c r="N510" s="23"/>
      <c r="O510" s="24">
        <f>H510-J510</f>
        <v>0</v>
      </c>
    </row>
    <row r="511" spans="1:15" x14ac:dyDescent="0.25">
      <c r="C511" s="2" t="s">
        <v>380</v>
      </c>
      <c r="G511" s="3"/>
      <c r="I511" s="4"/>
      <c r="N511" s="23"/>
      <c r="O511" s="24">
        <f>H511-J511</f>
        <v>0</v>
      </c>
    </row>
    <row r="512" spans="1:15" x14ac:dyDescent="0.25">
      <c r="A512" s="2">
        <v>14230</v>
      </c>
      <c r="B512" s="2">
        <v>56001</v>
      </c>
      <c r="C512" s="2" t="s">
        <v>381</v>
      </c>
      <c r="G512" s="3"/>
      <c r="H512" s="3">
        <v>1200</v>
      </c>
      <c r="I512" s="4">
        <f>[1]Expense!N262</f>
        <v>1000</v>
      </c>
      <c r="J512" s="4">
        <f>[1]Expense!I262</f>
        <v>1000</v>
      </c>
      <c r="K512" s="4">
        <f>[2]Expense!K239</f>
        <v>1123.3499999999999</v>
      </c>
      <c r="L512" s="4">
        <v>1492.94</v>
      </c>
      <c r="M512" s="4">
        <v>5678.5</v>
      </c>
      <c r="N512" s="23">
        <f>(H512-J512)/J512</f>
        <v>0.2</v>
      </c>
      <c r="O512" s="24">
        <f>H512-J512</f>
        <v>200</v>
      </c>
    </row>
    <row r="513" spans="1:15" x14ac:dyDescent="0.25">
      <c r="A513" s="2">
        <v>14230</v>
      </c>
      <c r="B513" s="2">
        <v>56005</v>
      </c>
      <c r="C513" s="2" t="s">
        <v>382</v>
      </c>
      <c r="G513" s="3"/>
      <c r="H513" s="3">
        <v>13100</v>
      </c>
      <c r="I513" s="4">
        <f>[1]Expense!N263</f>
        <v>11000</v>
      </c>
      <c r="J513" s="4">
        <f>[1]Expense!I263</f>
        <v>9000</v>
      </c>
      <c r="K513" s="4">
        <f>[2]Expense!K240</f>
        <v>486.15</v>
      </c>
      <c r="L513" s="4">
        <v>2293.7399999999998</v>
      </c>
      <c r="M513" s="4">
        <v>5574.2</v>
      </c>
      <c r="N513" s="23">
        <f>(H513-J513)/J513</f>
        <v>0.45555555555555555</v>
      </c>
      <c r="O513" s="24">
        <f>H513-J513</f>
        <v>4100</v>
      </c>
    </row>
    <row r="514" spans="1:15" x14ac:dyDescent="0.25">
      <c r="C514" s="2" t="s">
        <v>383</v>
      </c>
      <c r="D514" s="2">
        <v>1</v>
      </c>
      <c r="E514" s="2">
        <v>1000</v>
      </c>
      <c r="F514" s="2">
        <v>1000</v>
      </c>
      <c r="G514" s="3"/>
      <c r="I514" s="4"/>
      <c r="N514" s="23"/>
      <c r="O514" s="24">
        <f>H514-J514</f>
        <v>0</v>
      </c>
    </row>
    <row r="515" spans="1:15" x14ac:dyDescent="0.25">
      <c r="C515" s="2" t="s">
        <v>384</v>
      </c>
      <c r="D515" s="2">
        <v>1</v>
      </c>
      <c r="E515" s="2">
        <v>840</v>
      </c>
      <c r="F515" s="2">
        <v>840</v>
      </c>
      <c r="G515" s="3"/>
      <c r="I515" s="4"/>
      <c r="N515" s="23"/>
      <c r="O515" s="24">
        <f>H515-J515</f>
        <v>0</v>
      </c>
    </row>
    <row r="516" spans="1:15" x14ac:dyDescent="0.25">
      <c r="C516" s="2" t="s">
        <v>385</v>
      </c>
      <c r="D516" s="2">
        <v>1</v>
      </c>
      <c r="E516" s="2">
        <v>3760</v>
      </c>
      <c r="F516" s="2">
        <v>3760</v>
      </c>
      <c r="G516" s="3"/>
      <c r="I516" s="4"/>
      <c r="N516" s="23"/>
      <c r="O516" s="24">
        <f>H516-J516</f>
        <v>0</v>
      </c>
    </row>
    <row r="517" spans="1:15" x14ac:dyDescent="0.25">
      <c r="C517" s="2" t="s">
        <v>386</v>
      </c>
      <c r="D517" s="2">
        <v>1</v>
      </c>
      <c r="E517" s="2">
        <v>500</v>
      </c>
      <c r="F517" s="2">
        <v>500</v>
      </c>
      <c r="G517" s="3"/>
      <c r="I517" s="4"/>
      <c r="N517" s="23"/>
      <c r="O517" s="24">
        <f>H517-J517</f>
        <v>0</v>
      </c>
    </row>
    <row r="518" spans="1:15" x14ac:dyDescent="0.25">
      <c r="C518" s="2" t="s">
        <v>387</v>
      </c>
      <c r="D518" s="2">
        <v>1</v>
      </c>
      <c r="E518" s="2">
        <v>6000</v>
      </c>
      <c r="F518" s="2">
        <v>6000</v>
      </c>
      <c r="G518" s="3"/>
      <c r="I518" s="4"/>
      <c r="N518" s="23"/>
      <c r="O518" s="24">
        <f>H518-J518</f>
        <v>0</v>
      </c>
    </row>
    <row r="519" spans="1:15" x14ac:dyDescent="0.25">
      <c r="C519" s="2" t="s">
        <v>388</v>
      </c>
      <c r="D519" s="2">
        <v>1</v>
      </c>
      <c r="E519" s="2">
        <v>1000</v>
      </c>
      <c r="F519" s="2">
        <v>1000</v>
      </c>
      <c r="G519" s="3"/>
      <c r="I519" s="4"/>
      <c r="N519" s="23"/>
      <c r="O519" s="24">
        <f>H519-J519</f>
        <v>0</v>
      </c>
    </row>
    <row r="520" spans="1:15" x14ac:dyDescent="0.25">
      <c r="A520" s="2">
        <v>14230</v>
      </c>
      <c r="B520" s="2">
        <v>56051</v>
      </c>
      <c r="C520" s="2" t="s">
        <v>389</v>
      </c>
      <c r="G520" s="3"/>
      <c r="I520" s="4"/>
      <c r="L520" s="4">
        <v>52317.9</v>
      </c>
      <c r="M520" s="4">
        <v>110491.79</v>
      </c>
      <c r="N520" s="23"/>
      <c r="O520" s="24">
        <f>H520-J520</f>
        <v>0</v>
      </c>
    </row>
    <row r="521" spans="1:15" x14ac:dyDescent="0.25">
      <c r="A521" s="2">
        <v>14230</v>
      </c>
      <c r="B521" s="2">
        <v>56100</v>
      </c>
      <c r="C521" s="2" t="s">
        <v>153</v>
      </c>
      <c r="G521" s="3"/>
      <c r="H521" s="3">
        <v>10987</v>
      </c>
      <c r="I521" s="4">
        <f>[1]Expense!N264</f>
        <v>10300</v>
      </c>
      <c r="J521" s="4">
        <f>[1]Expense!I264</f>
        <v>10487</v>
      </c>
      <c r="K521" s="4">
        <f>[2]Expense!K241</f>
        <v>8632.36</v>
      </c>
      <c r="L521" s="4">
        <v>10358</v>
      </c>
      <c r="M521" s="4">
        <v>11114.68</v>
      </c>
      <c r="N521" s="23">
        <f>(H521-J521)/J521</f>
        <v>4.7678077619910365E-2</v>
      </c>
      <c r="O521" s="24">
        <f>H521-J521</f>
        <v>500</v>
      </c>
    </row>
    <row r="522" spans="1:15" x14ac:dyDescent="0.25">
      <c r="C522" s="2" t="s">
        <v>390</v>
      </c>
      <c r="F522" s="2">
        <v>3500</v>
      </c>
      <c r="G522" s="3"/>
      <c r="I522" s="4"/>
      <c r="N522" s="23"/>
      <c r="O522" s="24">
        <f>H522-J522</f>
        <v>0</v>
      </c>
    </row>
    <row r="523" spans="1:15" x14ac:dyDescent="0.25">
      <c r="C523" s="2" t="s">
        <v>391</v>
      </c>
      <c r="F523" s="2">
        <v>5000</v>
      </c>
      <c r="G523" s="3"/>
      <c r="I523" s="4"/>
      <c r="N523" s="23"/>
      <c r="O523" s="24">
        <f>H523-J523</f>
        <v>0</v>
      </c>
    </row>
    <row r="524" spans="1:15" x14ac:dyDescent="0.25">
      <c r="C524" s="2" t="s">
        <v>392</v>
      </c>
      <c r="D524" s="2">
        <v>6</v>
      </c>
      <c r="E524" s="2">
        <v>123</v>
      </c>
      <c r="F524" s="2">
        <v>738</v>
      </c>
      <c r="G524" s="3"/>
      <c r="I524" s="4"/>
      <c r="N524" s="23"/>
      <c r="O524" s="24">
        <f>H524-J524</f>
        <v>0</v>
      </c>
    </row>
    <row r="525" spans="1:15" x14ac:dyDescent="0.25">
      <c r="C525" s="2" t="s">
        <v>393</v>
      </c>
      <c r="D525" s="2">
        <v>1</v>
      </c>
      <c r="E525" s="2">
        <v>450</v>
      </c>
      <c r="F525" s="2">
        <v>450</v>
      </c>
      <c r="G525" s="3"/>
      <c r="I525" s="4"/>
      <c r="N525" s="23"/>
      <c r="O525" s="24">
        <f>H525-J525</f>
        <v>0</v>
      </c>
    </row>
    <row r="526" spans="1:15" x14ac:dyDescent="0.25">
      <c r="C526" s="2" t="s">
        <v>394</v>
      </c>
      <c r="D526" s="2">
        <v>1</v>
      </c>
      <c r="E526" s="2">
        <v>750</v>
      </c>
      <c r="F526" s="2">
        <v>750</v>
      </c>
      <c r="G526" s="3"/>
      <c r="I526" s="4"/>
      <c r="N526" s="23"/>
      <c r="O526" s="24">
        <f>H526-J526</f>
        <v>0</v>
      </c>
    </row>
    <row r="527" spans="1:15" x14ac:dyDescent="0.25">
      <c r="C527" s="30" t="s">
        <v>395</v>
      </c>
      <c r="G527" s="3"/>
      <c r="I527" s="4"/>
      <c r="N527" s="23"/>
      <c r="O527" s="24">
        <f>H527-J527</f>
        <v>0</v>
      </c>
    </row>
    <row r="528" spans="1:15" x14ac:dyDescent="0.25">
      <c r="C528" s="30" t="s">
        <v>396</v>
      </c>
      <c r="G528" s="3"/>
      <c r="I528" s="4"/>
      <c r="N528" s="23"/>
      <c r="O528" s="24">
        <f>H528-J528</f>
        <v>0</v>
      </c>
    </row>
    <row r="529" spans="1:15" x14ac:dyDescent="0.25">
      <c r="C529" s="2" t="s">
        <v>397</v>
      </c>
      <c r="D529" s="2">
        <v>3</v>
      </c>
      <c r="E529" s="2">
        <v>183</v>
      </c>
      <c r="F529" s="2">
        <v>549</v>
      </c>
      <c r="G529" s="3"/>
      <c r="I529" s="4"/>
      <c r="N529" s="23"/>
      <c r="O529" s="24">
        <f>H529-J529</f>
        <v>0</v>
      </c>
    </row>
    <row r="530" spans="1:15" x14ac:dyDescent="0.25">
      <c r="A530" s="2">
        <v>14230</v>
      </c>
      <c r="B530" s="2">
        <v>56110</v>
      </c>
      <c r="C530" s="2" t="s">
        <v>197</v>
      </c>
      <c r="G530" s="3"/>
      <c r="H530" s="3">
        <v>17470</v>
      </c>
      <c r="I530" s="4">
        <f>[1]Expense!N265</f>
        <v>11856</v>
      </c>
      <c r="J530" s="4">
        <f>[1]Expense!I265</f>
        <v>14500</v>
      </c>
      <c r="K530" s="4">
        <f>[2]Expense!K242</f>
        <v>6334.28</v>
      </c>
      <c r="L530" s="4">
        <v>10383.719999999999</v>
      </c>
      <c r="M530" s="4">
        <v>10077.280000000001</v>
      </c>
      <c r="N530" s="23">
        <f>(H530-J530)/J530</f>
        <v>0.20482758620689656</v>
      </c>
      <c r="O530" s="24">
        <f>H530-J530</f>
        <v>2970</v>
      </c>
    </row>
    <row r="531" spans="1:15" x14ac:dyDescent="0.25">
      <c r="C531" s="2" t="s">
        <v>398</v>
      </c>
      <c r="D531" s="2">
        <v>6</v>
      </c>
      <c r="E531" s="2">
        <v>750</v>
      </c>
      <c r="F531" s="2">
        <v>4500</v>
      </c>
      <c r="G531" s="3"/>
      <c r="I531" s="4"/>
      <c r="N531" s="23"/>
      <c r="O531" s="24">
        <f>H531-J531</f>
        <v>0</v>
      </c>
    </row>
    <row r="532" spans="1:15" x14ac:dyDescent="0.25">
      <c r="C532" s="2" t="s">
        <v>399</v>
      </c>
      <c r="D532" s="2">
        <v>3</v>
      </c>
      <c r="E532" s="2">
        <v>750</v>
      </c>
      <c r="F532" s="2">
        <v>2250</v>
      </c>
      <c r="G532" s="3"/>
      <c r="I532" s="4"/>
      <c r="N532" s="23"/>
      <c r="O532" s="24">
        <f>H532-J532</f>
        <v>0</v>
      </c>
    </row>
    <row r="533" spans="1:15" x14ac:dyDescent="0.25">
      <c r="C533" s="2" t="s">
        <v>400</v>
      </c>
      <c r="D533" s="2">
        <v>1</v>
      </c>
      <c r="E533" s="2">
        <v>1760</v>
      </c>
      <c r="F533" s="2">
        <v>1760</v>
      </c>
      <c r="G533" s="3"/>
      <c r="I533" s="4"/>
      <c r="N533" s="23"/>
      <c r="O533" s="24">
        <f>H533-J533</f>
        <v>0</v>
      </c>
    </row>
    <row r="534" spans="1:15" x14ac:dyDescent="0.25">
      <c r="C534" s="2" t="s">
        <v>401</v>
      </c>
      <c r="D534" s="2">
        <v>1</v>
      </c>
      <c r="E534" s="2">
        <v>450</v>
      </c>
      <c r="F534" s="2">
        <v>450</v>
      </c>
      <c r="G534" s="3"/>
      <c r="I534" s="4"/>
      <c r="N534" s="23"/>
      <c r="O534" s="24">
        <f>H534-J534</f>
        <v>0</v>
      </c>
    </row>
    <row r="535" spans="1:15" x14ac:dyDescent="0.25">
      <c r="C535" s="2" t="s">
        <v>402</v>
      </c>
      <c r="D535" s="2">
        <v>2</v>
      </c>
      <c r="E535" s="2">
        <v>490</v>
      </c>
      <c r="F535" s="2">
        <v>980</v>
      </c>
      <c r="G535" s="3"/>
      <c r="I535" s="4"/>
      <c r="N535" s="23"/>
      <c r="O535" s="24">
        <f>H535-J535</f>
        <v>0</v>
      </c>
    </row>
    <row r="536" spans="1:15" x14ac:dyDescent="0.25">
      <c r="C536" s="2" t="s">
        <v>403</v>
      </c>
      <c r="D536" s="2">
        <v>20</v>
      </c>
      <c r="E536" s="2">
        <v>35</v>
      </c>
      <c r="F536" s="2">
        <v>700</v>
      </c>
      <c r="G536" s="3"/>
      <c r="I536" s="4"/>
      <c r="N536" s="23"/>
      <c r="O536" s="24">
        <f>H536-J536</f>
        <v>0</v>
      </c>
    </row>
    <row r="537" spans="1:15" x14ac:dyDescent="0.25">
      <c r="C537" s="2" t="s">
        <v>404</v>
      </c>
      <c r="D537" s="2">
        <v>1</v>
      </c>
      <c r="E537" s="2">
        <v>1970</v>
      </c>
      <c r="F537" s="2">
        <v>1970</v>
      </c>
      <c r="G537" s="3"/>
      <c r="I537" s="4"/>
      <c r="N537" s="23"/>
      <c r="O537" s="24">
        <f>H537-J537</f>
        <v>0</v>
      </c>
    </row>
    <row r="538" spans="1:15" x14ac:dyDescent="0.25">
      <c r="C538" s="2" t="s">
        <v>405</v>
      </c>
      <c r="D538" s="2">
        <v>1</v>
      </c>
      <c r="E538" s="2">
        <v>445</v>
      </c>
      <c r="F538" s="2">
        <v>445</v>
      </c>
      <c r="G538" s="3"/>
      <c r="I538" s="4"/>
      <c r="N538" s="23"/>
      <c r="O538" s="24">
        <f>H538-J538</f>
        <v>0</v>
      </c>
    </row>
    <row r="539" spans="1:15" x14ac:dyDescent="0.25">
      <c r="C539" s="2" t="s">
        <v>406</v>
      </c>
      <c r="D539" s="2">
        <v>1</v>
      </c>
      <c r="E539" s="2">
        <v>325</v>
      </c>
      <c r="F539" s="2">
        <v>325</v>
      </c>
      <c r="G539" s="3"/>
      <c r="I539" s="4"/>
      <c r="N539" s="23"/>
      <c r="O539" s="24">
        <f>H539-J539</f>
        <v>0</v>
      </c>
    </row>
    <row r="540" spans="1:15" x14ac:dyDescent="0.25">
      <c r="C540" s="2" t="s">
        <v>407</v>
      </c>
      <c r="D540" s="2">
        <v>1</v>
      </c>
      <c r="E540" s="2">
        <v>2500</v>
      </c>
      <c r="F540" s="2">
        <v>2500</v>
      </c>
      <c r="G540" s="3"/>
      <c r="I540" s="4"/>
      <c r="N540" s="23"/>
      <c r="O540" s="24">
        <f>H540-J540</f>
        <v>0</v>
      </c>
    </row>
    <row r="541" spans="1:15" x14ac:dyDescent="0.25">
      <c r="C541" s="2" t="s">
        <v>408</v>
      </c>
      <c r="D541" s="2">
        <v>2</v>
      </c>
      <c r="E541" s="2">
        <v>795</v>
      </c>
      <c r="F541" s="2">
        <v>1590</v>
      </c>
      <c r="G541" s="3"/>
      <c r="I541" s="4"/>
      <c r="N541" s="23"/>
      <c r="O541" s="24">
        <f>H541-J541</f>
        <v>0</v>
      </c>
    </row>
    <row r="542" spans="1:15" x14ac:dyDescent="0.25">
      <c r="A542" s="2">
        <v>14230</v>
      </c>
      <c r="B542" s="2">
        <v>56115</v>
      </c>
      <c r="C542" s="2" t="s">
        <v>198</v>
      </c>
      <c r="G542" s="3"/>
      <c r="H542" s="3">
        <v>8000</v>
      </c>
      <c r="I542" s="4">
        <f>[1]Expense!N266</f>
        <v>8000</v>
      </c>
      <c r="J542" s="4">
        <f>[1]Expense!I266</f>
        <v>10000</v>
      </c>
      <c r="K542" s="4">
        <f>[2]Expense!K243</f>
        <v>7832.77</v>
      </c>
      <c r="L542" s="4">
        <v>8978</v>
      </c>
      <c r="M542" s="4">
        <v>7460.32</v>
      </c>
      <c r="N542" s="23">
        <f>(H542-J542)/J542</f>
        <v>-0.2</v>
      </c>
      <c r="O542" s="24">
        <f>H542-J542</f>
        <v>-2000</v>
      </c>
    </row>
    <row r="543" spans="1:15" x14ac:dyDescent="0.25">
      <c r="A543" s="2">
        <v>14230</v>
      </c>
      <c r="B543" s="2">
        <v>56125</v>
      </c>
      <c r="C543" s="2" t="s">
        <v>309</v>
      </c>
      <c r="G543" s="3"/>
      <c r="H543" s="3">
        <v>2850</v>
      </c>
      <c r="I543" s="4">
        <f>[1]Expense!N267</f>
        <v>2200</v>
      </c>
      <c r="J543" s="4">
        <f>[1]Expense!I267</f>
        <v>2413</v>
      </c>
      <c r="K543" s="4">
        <f>[2]Expense!K244</f>
        <v>2162.3000000000002</v>
      </c>
      <c r="L543" s="4">
        <v>570.25</v>
      </c>
      <c r="M543" s="4">
        <v>2277.9</v>
      </c>
      <c r="N543" s="23">
        <f>(H543-J543)/J543</f>
        <v>0.18110236220472442</v>
      </c>
      <c r="O543" s="24">
        <f>H543-J543</f>
        <v>437</v>
      </c>
    </row>
    <row r="544" spans="1:15" x14ac:dyDescent="0.25">
      <c r="C544" s="2" t="s">
        <v>409</v>
      </c>
      <c r="D544" s="2">
        <v>1</v>
      </c>
      <c r="E544" s="2">
        <v>350</v>
      </c>
      <c r="F544" s="2">
        <v>350</v>
      </c>
      <c r="G544" s="3"/>
      <c r="I544" s="4"/>
      <c r="N544" s="23"/>
      <c r="O544" s="24">
        <f>H544-J544</f>
        <v>0</v>
      </c>
    </row>
    <row r="545" spans="1:15" x14ac:dyDescent="0.25">
      <c r="C545" s="2" t="s">
        <v>410</v>
      </c>
      <c r="D545" s="2">
        <v>1</v>
      </c>
      <c r="E545" s="2">
        <v>2500</v>
      </c>
      <c r="F545" s="2">
        <v>2500</v>
      </c>
      <c r="G545" s="3"/>
      <c r="I545" s="4"/>
      <c r="N545" s="23"/>
      <c r="O545" s="24">
        <f>H545-J545</f>
        <v>0</v>
      </c>
    </row>
    <row r="546" spans="1:15" x14ac:dyDescent="0.25">
      <c r="A546" s="2">
        <v>14230</v>
      </c>
      <c r="B546" s="2">
        <v>56130</v>
      </c>
      <c r="C546" s="2" t="s">
        <v>22</v>
      </c>
      <c r="G546" s="3"/>
      <c r="H546" s="3">
        <v>3000</v>
      </c>
      <c r="I546" s="4">
        <f>[1]Expense!N268</f>
        <v>1200</v>
      </c>
      <c r="J546" s="4">
        <f>[1]Expense!I268</f>
        <v>3000</v>
      </c>
      <c r="K546" s="4">
        <f>[2]Expense!K245</f>
        <v>434.66</v>
      </c>
      <c r="L546" s="4">
        <v>1409.52</v>
      </c>
      <c r="M546" s="4">
        <v>0</v>
      </c>
      <c r="N546" s="23">
        <f>(H546-J546)/J546</f>
        <v>0</v>
      </c>
      <c r="O546" s="24">
        <f>H546-J546</f>
        <v>0</v>
      </c>
    </row>
    <row r="547" spans="1:15" x14ac:dyDescent="0.25">
      <c r="C547" s="2" t="s">
        <v>411</v>
      </c>
      <c r="D547" s="2">
        <v>1</v>
      </c>
      <c r="E547" s="2">
        <v>1000</v>
      </c>
      <c r="F547" s="2">
        <v>1000</v>
      </c>
      <c r="G547" s="3"/>
      <c r="I547" s="4"/>
      <c r="N547" s="23"/>
      <c r="O547" s="24">
        <f>H547-J547</f>
        <v>0</v>
      </c>
    </row>
    <row r="548" spans="1:15" x14ac:dyDescent="0.25">
      <c r="C548" s="30" t="s">
        <v>412</v>
      </c>
      <c r="G548" s="3"/>
      <c r="I548" s="4"/>
      <c r="N548" s="23"/>
      <c r="O548" s="24">
        <f>H548-J548</f>
        <v>0</v>
      </c>
    </row>
    <row r="549" spans="1:15" x14ac:dyDescent="0.25">
      <c r="C549" s="30" t="s">
        <v>413</v>
      </c>
      <c r="G549" s="3"/>
      <c r="I549" s="4"/>
      <c r="N549" s="23"/>
      <c r="O549" s="24">
        <f>H549-J549</f>
        <v>0</v>
      </c>
    </row>
    <row r="550" spans="1:15" x14ac:dyDescent="0.25">
      <c r="C550" s="2" t="s">
        <v>414</v>
      </c>
      <c r="D550" s="2">
        <v>1</v>
      </c>
      <c r="E550" s="2">
        <v>4000</v>
      </c>
      <c r="F550" s="2">
        <v>4000</v>
      </c>
      <c r="G550" s="3"/>
      <c r="I550" s="4"/>
      <c r="N550" s="23"/>
      <c r="O550" s="24">
        <f>H550-J550</f>
        <v>0</v>
      </c>
    </row>
    <row r="551" spans="1:15" x14ac:dyDescent="0.25">
      <c r="A551" s="2">
        <v>14230</v>
      </c>
      <c r="B551" s="2">
        <v>56200</v>
      </c>
      <c r="C551" s="2" t="s">
        <v>56</v>
      </c>
      <c r="G551" s="3"/>
      <c r="H551" s="3">
        <v>1500</v>
      </c>
      <c r="I551" s="4">
        <f>[1]Expense!N269</f>
        <v>1200</v>
      </c>
      <c r="J551" s="4">
        <f>[1]Expense!I269</f>
        <v>1500</v>
      </c>
      <c r="K551" s="4">
        <f>[2]Expense!K246</f>
        <v>1033.18</v>
      </c>
      <c r="L551" s="4">
        <v>1089.83</v>
      </c>
      <c r="M551" s="4">
        <v>1473.31</v>
      </c>
      <c r="N551" s="23">
        <f>(H551-J551)/J551</f>
        <v>0</v>
      </c>
      <c r="O551" s="24">
        <f>H551-J551</f>
        <v>0</v>
      </c>
    </row>
    <row r="552" spans="1:15" x14ac:dyDescent="0.25">
      <c r="A552" s="2">
        <v>14230</v>
      </c>
      <c r="B552" s="2">
        <v>56250</v>
      </c>
      <c r="C552" s="2" t="s">
        <v>57</v>
      </c>
      <c r="G552" s="3"/>
      <c r="H552" s="3">
        <f>SUM(F553:F554)</f>
        <v>373</v>
      </c>
      <c r="I552" s="4">
        <f>[1]Expense!N270</f>
        <v>341</v>
      </c>
      <c r="J552" s="4">
        <f>[1]Expense!I270</f>
        <v>373</v>
      </c>
      <c r="K552" s="4">
        <f>[2]Expense!K247</f>
        <v>288</v>
      </c>
      <c r="L552" s="4">
        <v>288</v>
      </c>
      <c r="M552" s="4">
        <v>346.99</v>
      </c>
      <c r="N552" s="23">
        <f>(H552-J552)/J552</f>
        <v>0</v>
      </c>
      <c r="O552" s="24">
        <f>H552-J552</f>
        <v>0</v>
      </c>
    </row>
    <row r="553" spans="1:15" x14ac:dyDescent="0.25">
      <c r="C553" s="2" t="s">
        <v>415</v>
      </c>
      <c r="D553" s="2">
        <v>4</v>
      </c>
      <c r="E553" s="2">
        <v>72</v>
      </c>
      <c r="F553" s="2">
        <v>288</v>
      </c>
      <c r="G553" s="3"/>
      <c r="I553" s="4"/>
      <c r="N553" s="23"/>
      <c r="O553" s="24">
        <f>H553-J553</f>
        <v>0</v>
      </c>
    </row>
    <row r="554" spans="1:15" x14ac:dyDescent="0.25">
      <c r="C554" s="2" t="s">
        <v>416</v>
      </c>
      <c r="D554" s="2">
        <v>1</v>
      </c>
      <c r="E554" s="2">
        <v>85</v>
      </c>
      <c r="F554" s="2">
        <v>85</v>
      </c>
      <c r="G554" s="3"/>
      <c r="I554" s="4"/>
      <c r="N554" s="23"/>
      <c r="O554" s="24">
        <f>H554-J554</f>
        <v>0</v>
      </c>
    </row>
    <row r="555" spans="1:15" x14ac:dyDescent="0.25">
      <c r="A555" s="2">
        <v>14230</v>
      </c>
      <c r="B555" s="2">
        <v>56350</v>
      </c>
      <c r="C555" s="2" t="s">
        <v>200</v>
      </c>
      <c r="G555" s="3"/>
      <c r="H555" s="4">
        <v>2500</v>
      </c>
      <c r="I555" s="4">
        <f>[1]Expense!N271</f>
        <v>1500</v>
      </c>
      <c r="J555" s="4">
        <f>[1]Expense!I271</f>
        <v>2500</v>
      </c>
      <c r="K555" s="4">
        <f>[2]Expense!K248</f>
        <v>2595.86</v>
      </c>
      <c r="L555" s="4">
        <v>1203.21</v>
      </c>
      <c r="M555" s="4">
        <v>752.75</v>
      </c>
      <c r="N555" s="23">
        <f>(H555-J555)/J555</f>
        <v>0</v>
      </c>
      <c r="O555" s="24">
        <f>H555-J555</f>
        <v>0</v>
      </c>
    </row>
    <row r="556" spans="1:15" x14ac:dyDescent="0.25">
      <c r="A556" s="2">
        <v>14230</v>
      </c>
      <c r="B556" s="2">
        <v>56400</v>
      </c>
      <c r="C556" s="2" t="s">
        <v>417</v>
      </c>
      <c r="G556" s="3"/>
      <c r="H556" s="3">
        <f>SUM(F557:F560)</f>
        <v>17100</v>
      </c>
      <c r="I556" s="4">
        <f>[1]Expense!N272</f>
        <v>15000</v>
      </c>
      <c r="J556" s="4">
        <f>[1]Expense!I272</f>
        <v>16100</v>
      </c>
      <c r="K556" s="4">
        <f>[2]Expense!K249</f>
        <v>13788.72</v>
      </c>
      <c r="L556" s="4">
        <v>17715.7</v>
      </c>
      <c r="M556" s="4">
        <v>13300.97</v>
      </c>
      <c r="N556" s="23">
        <f>(H556-J556)/J556</f>
        <v>6.2111801242236024E-2</v>
      </c>
      <c r="O556" s="24">
        <f>H556-J556</f>
        <v>1000</v>
      </c>
    </row>
    <row r="557" spans="1:15" x14ac:dyDescent="0.25">
      <c r="C557" s="2" t="s">
        <v>418</v>
      </c>
      <c r="F557" s="2">
        <v>10000</v>
      </c>
      <c r="G557" s="3"/>
      <c r="I557" s="4"/>
      <c r="N557" s="23"/>
      <c r="O557" s="24">
        <f>H557-J557</f>
        <v>0</v>
      </c>
    </row>
    <row r="558" spans="1:15" x14ac:dyDescent="0.25">
      <c r="C558" s="2" t="s">
        <v>419</v>
      </c>
      <c r="F558" s="2">
        <v>4200</v>
      </c>
      <c r="G558" s="3"/>
      <c r="I558" s="4"/>
      <c r="N558" s="23"/>
      <c r="O558" s="24">
        <f>H558-J558</f>
        <v>0</v>
      </c>
    </row>
    <row r="559" spans="1:15" x14ac:dyDescent="0.25">
      <c r="C559" s="2" t="s">
        <v>420</v>
      </c>
      <c r="F559" s="2">
        <v>2200</v>
      </c>
      <c r="G559" s="3"/>
      <c r="I559" s="4"/>
      <c r="N559" s="23"/>
      <c r="O559" s="24">
        <f>H559-J559</f>
        <v>0</v>
      </c>
    </row>
    <row r="560" spans="1:15" x14ac:dyDescent="0.25">
      <c r="C560" s="2" t="s">
        <v>421</v>
      </c>
      <c r="F560" s="2">
        <v>700</v>
      </c>
      <c r="G560" s="3"/>
      <c r="I560" s="4"/>
      <c r="N560" s="23"/>
      <c r="O560" s="24">
        <f>H560-J560</f>
        <v>0</v>
      </c>
    </row>
    <row r="561" spans="1:15" x14ac:dyDescent="0.25">
      <c r="C561" s="2" t="s">
        <v>422</v>
      </c>
      <c r="G561" s="3"/>
      <c r="I561" s="4"/>
      <c r="N561" s="23"/>
      <c r="O561" s="24">
        <f>H561-J561</f>
        <v>0</v>
      </c>
    </row>
    <row r="562" spans="1:15" x14ac:dyDescent="0.25">
      <c r="A562" s="2">
        <v>14230</v>
      </c>
      <c r="B562" s="2">
        <v>56500</v>
      </c>
      <c r="C562" s="2" t="s">
        <v>423</v>
      </c>
      <c r="G562" s="3"/>
      <c r="H562" s="4">
        <v>2000</v>
      </c>
      <c r="I562" s="22">
        <f>[1]Expense!N273</f>
        <v>0</v>
      </c>
      <c r="J562" s="4">
        <f>[1]Expense!I273</f>
        <v>2000</v>
      </c>
      <c r="K562" s="4">
        <f>[2]Expense!K250</f>
        <v>0</v>
      </c>
      <c r="L562" s="4">
        <v>725.98</v>
      </c>
      <c r="N562" s="23">
        <f>(H562-J562)/J562</f>
        <v>0</v>
      </c>
      <c r="O562" s="24">
        <f>H562-J562</f>
        <v>0</v>
      </c>
    </row>
    <row r="563" spans="1:15" x14ac:dyDescent="0.25">
      <c r="A563" s="2">
        <v>14230</v>
      </c>
      <c r="B563" s="2">
        <v>56600</v>
      </c>
      <c r="C563" s="2" t="s">
        <v>203</v>
      </c>
      <c r="G563" s="3"/>
      <c r="H563" s="4">
        <v>1500</v>
      </c>
      <c r="I563" s="2">
        <f>[1]Expense!N274</f>
        <v>750</v>
      </c>
      <c r="J563" s="4">
        <f>[1]Expense!I274</f>
        <v>2000</v>
      </c>
      <c r="K563" s="4">
        <f>[2]Expense!K251</f>
        <v>1588.56</v>
      </c>
      <c r="L563" s="4">
        <v>1245.29</v>
      </c>
      <c r="M563" s="4">
        <v>950.2</v>
      </c>
      <c r="N563" s="23">
        <f>(H563-J563)/J563</f>
        <v>-0.25</v>
      </c>
      <c r="O563" s="24">
        <f>H563-J563</f>
        <v>-500</v>
      </c>
    </row>
    <row r="564" spans="1:15" x14ac:dyDescent="0.25">
      <c r="A564" s="2">
        <v>14230</v>
      </c>
      <c r="B564" s="2">
        <v>56670</v>
      </c>
      <c r="C564" s="2" t="s">
        <v>58</v>
      </c>
      <c r="G564" s="3"/>
      <c r="H564" s="4">
        <f>SUM(F565:F566)</f>
        <v>2220</v>
      </c>
      <c r="I564" s="2">
        <f>[1]Expense!N275</f>
        <v>1850</v>
      </c>
      <c r="J564" s="4">
        <f>[1]Expense!I275</f>
        <v>1980</v>
      </c>
      <c r="K564" s="4">
        <f>[2]Expense!K252</f>
        <v>1817.45</v>
      </c>
      <c r="L564" s="4">
        <v>1979.95</v>
      </c>
      <c r="M564" s="4">
        <v>2124.9499999999998</v>
      </c>
      <c r="N564" s="23">
        <f>(H564-J564)/J564</f>
        <v>0.12121212121212122</v>
      </c>
      <c r="O564" s="24">
        <f>H564-J564</f>
        <v>240</v>
      </c>
    </row>
    <row r="565" spans="1:15" x14ac:dyDescent="0.25">
      <c r="C565" s="2" t="s">
        <v>424</v>
      </c>
      <c r="D565" s="2">
        <v>12</v>
      </c>
      <c r="E565" s="2">
        <v>170</v>
      </c>
      <c r="F565" s="2">
        <f>D565*E565</f>
        <v>2040</v>
      </c>
      <c r="G565" s="3"/>
      <c r="N565" s="23"/>
      <c r="O565" s="24">
        <f>H565-J565</f>
        <v>0</v>
      </c>
    </row>
    <row r="566" spans="1:15" x14ac:dyDescent="0.25">
      <c r="C566" s="2" t="s">
        <v>425</v>
      </c>
      <c r="D566" s="2">
        <v>1</v>
      </c>
      <c r="E566" s="2">
        <v>180</v>
      </c>
      <c r="F566" s="2">
        <v>180</v>
      </c>
      <c r="G566" s="3"/>
      <c r="N566" s="23"/>
      <c r="O566" s="24">
        <f>H566-J566</f>
        <v>0</v>
      </c>
    </row>
    <row r="567" spans="1:15" x14ac:dyDescent="0.25">
      <c r="C567" s="30" t="s">
        <v>426</v>
      </c>
      <c r="G567" s="3"/>
      <c r="N567" s="23"/>
      <c r="O567" s="24">
        <f>H567-J567</f>
        <v>0</v>
      </c>
    </row>
    <row r="568" spans="1:15" x14ac:dyDescent="0.25">
      <c r="A568" s="2">
        <v>14230</v>
      </c>
      <c r="B568" s="2">
        <v>56680</v>
      </c>
      <c r="C568" s="2" t="s">
        <v>59</v>
      </c>
      <c r="G568" s="3"/>
      <c r="H568" s="3">
        <f>SUM(F569:F572)</f>
        <v>7130</v>
      </c>
      <c r="I568" s="2">
        <f>[1]Expense!N276</f>
        <v>12813</v>
      </c>
      <c r="J568" s="4">
        <f>[1]Expense!I276</f>
        <v>3980</v>
      </c>
      <c r="K568" s="4">
        <f>[2]Expense!K253</f>
        <v>11528.63</v>
      </c>
      <c r="L568" s="4">
        <v>5804.92</v>
      </c>
      <c r="M568" s="4">
        <v>10985.29</v>
      </c>
      <c r="N568" s="23">
        <f>(H568-J568)/J568</f>
        <v>0.79145728643216084</v>
      </c>
      <c r="O568" s="24">
        <f>H568-J568</f>
        <v>3150</v>
      </c>
    </row>
    <row r="569" spans="1:15" x14ac:dyDescent="0.25">
      <c r="C569" s="2" t="s">
        <v>427</v>
      </c>
      <c r="D569" s="2">
        <v>2</v>
      </c>
      <c r="E569" s="2">
        <v>2250</v>
      </c>
      <c r="F569" s="2">
        <v>4500</v>
      </c>
      <c r="G569" s="3"/>
      <c r="N569" s="23"/>
      <c r="O569" s="24">
        <f>H569-J569</f>
        <v>0</v>
      </c>
    </row>
    <row r="570" spans="1:15" x14ac:dyDescent="0.25">
      <c r="C570" s="2" t="s">
        <v>428</v>
      </c>
      <c r="D570" s="2">
        <v>1</v>
      </c>
      <c r="E570" s="2">
        <v>1000</v>
      </c>
      <c r="F570" s="2">
        <f>D570*E570</f>
        <v>1000</v>
      </c>
      <c r="G570" s="3"/>
      <c r="N570" s="23"/>
      <c r="O570" s="24">
        <f>H570-J570</f>
        <v>0</v>
      </c>
    </row>
    <row r="571" spans="1:15" x14ac:dyDescent="0.25">
      <c r="C571" s="2" t="s">
        <v>429</v>
      </c>
      <c r="D571" s="2">
        <v>1</v>
      </c>
      <c r="E571" s="2">
        <v>750</v>
      </c>
      <c r="F571" s="2">
        <f t="shared" ref="F571:F572" si="10">D571*E571</f>
        <v>750</v>
      </c>
      <c r="G571" s="3"/>
      <c r="N571" s="23"/>
      <c r="O571" s="24">
        <f>H571-J571</f>
        <v>0</v>
      </c>
    </row>
    <row r="572" spans="1:15" x14ac:dyDescent="0.25">
      <c r="C572" s="2" t="s">
        <v>430</v>
      </c>
      <c r="D572" s="2">
        <v>4</v>
      </c>
      <c r="E572" s="2">
        <v>220</v>
      </c>
      <c r="F572" s="2">
        <f t="shared" si="10"/>
        <v>880</v>
      </c>
      <c r="G572" s="3"/>
      <c r="N572" s="23"/>
      <c r="O572" s="24">
        <f>H572-J572</f>
        <v>0</v>
      </c>
    </row>
    <row r="573" spans="1:15" s="5" customFormat="1" x14ac:dyDescent="0.25">
      <c r="A573" s="5" t="s">
        <v>23</v>
      </c>
      <c r="B573" s="5" t="s">
        <v>431</v>
      </c>
      <c r="G573" s="21">
        <f t="shared" ref="G573:M573" si="11">SUM(G447:G568)</f>
        <v>0</v>
      </c>
      <c r="H573" s="21">
        <f t="shared" si="11"/>
        <v>5998320</v>
      </c>
      <c r="I573" s="22">
        <f t="shared" si="11"/>
        <v>5465585.1799999997</v>
      </c>
      <c r="J573" s="22">
        <f t="shared" si="11"/>
        <v>5596563</v>
      </c>
      <c r="K573" s="22">
        <f t="shared" si="11"/>
        <v>4584677.2500000009</v>
      </c>
      <c r="L573" s="22">
        <f t="shared" si="11"/>
        <v>4343582.370000001</v>
      </c>
      <c r="M573" s="22">
        <f t="shared" si="11"/>
        <v>4488749</v>
      </c>
      <c r="N573" s="25">
        <f>(H573-J573)/J573</f>
        <v>7.1786380319492513E-2</v>
      </c>
      <c r="O573" s="26">
        <f>H573-J573</f>
        <v>401757</v>
      </c>
    </row>
    <row r="574" spans="1:15" x14ac:dyDescent="0.25">
      <c r="K574" s="22"/>
      <c r="N574" s="23"/>
      <c r="O574" s="24">
        <f>H574-J574</f>
        <v>0</v>
      </c>
    </row>
    <row r="575" spans="1:15" s="5" customFormat="1" x14ac:dyDescent="0.25">
      <c r="A575" s="5">
        <v>14235</v>
      </c>
      <c r="B575" s="5" t="s">
        <v>432</v>
      </c>
      <c r="H575" s="21"/>
      <c r="I575" s="28"/>
      <c r="J575" s="4">
        <f>[1]Expense!I281</f>
        <v>0</v>
      </c>
      <c r="K575" s="4"/>
      <c r="L575" s="22"/>
      <c r="M575" s="22"/>
      <c r="N575" s="23"/>
      <c r="O575" s="24">
        <f>H575-J575</f>
        <v>0</v>
      </c>
    </row>
    <row r="576" spans="1:15" x14ac:dyDescent="0.25">
      <c r="A576" s="2">
        <v>14235</v>
      </c>
      <c r="B576" s="2">
        <v>51200</v>
      </c>
      <c r="C576" s="2" t="s">
        <v>27</v>
      </c>
      <c r="G576" s="3"/>
      <c r="H576" s="3">
        <v>149950</v>
      </c>
      <c r="I576" s="28">
        <f>[1]Expense!N280</f>
        <v>125000</v>
      </c>
      <c r="J576" s="4">
        <f>[1]Expense!I280</f>
        <v>136575</v>
      </c>
      <c r="K576" s="4">
        <f>[2]Expense!K257</f>
        <v>122453.21</v>
      </c>
      <c r="L576" s="4">
        <v>112961.9</v>
      </c>
      <c r="M576" s="4">
        <f>116947.06+4618.6</f>
        <v>121565.66</v>
      </c>
      <c r="N576" s="23">
        <f>(H576-J576)/J576</f>
        <v>9.7931539447190186E-2</v>
      </c>
      <c r="O576" s="24">
        <f>H576-J576</f>
        <v>13375</v>
      </c>
    </row>
    <row r="577" spans="1:15" x14ac:dyDescent="0.25">
      <c r="A577" s="2">
        <v>14235</v>
      </c>
      <c r="B577" s="2">
        <v>51510</v>
      </c>
      <c r="C577" s="2" t="s">
        <v>31</v>
      </c>
      <c r="I577" s="2">
        <f>[1]Expense!N281</f>
        <v>0</v>
      </c>
      <c r="J577" s="4">
        <f>[1]Expense!I281</f>
        <v>0</v>
      </c>
      <c r="K577" s="4">
        <f>[2]Expense!K256</f>
        <v>0</v>
      </c>
      <c r="L577" s="4">
        <v>979.35</v>
      </c>
      <c r="M577" s="4">
        <v>388.22</v>
      </c>
      <c r="N577" s="23"/>
      <c r="O577" s="24">
        <f>H577-J577</f>
        <v>0</v>
      </c>
    </row>
    <row r="578" spans="1:15" x14ac:dyDescent="0.25">
      <c r="A578" s="2">
        <v>14235</v>
      </c>
      <c r="B578" s="2">
        <v>52200</v>
      </c>
      <c r="C578" s="2" t="s">
        <v>35</v>
      </c>
      <c r="G578" s="3"/>
      <c r="H578" s="3">
        <v>11500</v>
      </c>
      <c r="I578" s="2">
        <f>[1]Expense!N282</f>
        <v>9500</v>
      </c>
      <c r="J578" s="4">
        <f>[1]Expense!I282</f>
        <v>10450</v>
      </c>
      <c r="K578" s="4">
        <f>[2]Expense!K259</f>
        <v>9367.6</v>
      </c>
      <c r="L578" s="4">
        <v>8716.39</v>
      </c>
      <c r="M578" s="4">
        <f>9121.94+31.45</f>
        <v>9153.3900000000012</v>
      </c>
      <c r="N578" s="23">
        <f>(H578-J578)/J578</f>
        <v>0.10047846889952153</v>
      </c>
      <c r="O578" s="24">
        <f>H578-J578</f>
        <v>1050</v>
      </c>
    </row>
    <row r="579" spans="1:15" x14ac:dyDescent="0.25">
      <c r="A579" s="2">
        <v>14235</v>
      </c>
      <c r="B579" s="2">
        <v>52250</v>
      </c>
      <c r="C579" s="2" t="s">
        <v>37</v>
      </c>
      <c r="G579" s="3"/>
      <c r="H579" s="3">
        <v>102</v>
      </c>
      <c r="I579" s="28">
        <f>[1]Expense!N283</f>
        <v>80.569999999999993</v>
      </c>
      <c r="J579" s="4">
        <f>[1]Expense!I283</f>
        <v>81</v>
      </c>
      <c r="K579" s="4">
        <f>[2]Expense!K260</f>
        <v>89.43</v>
      </c>
      <c r="L579" s="4">
        <v>133.02000000000001</v>
      </c>
      <c r="M579" s="4">
        <v>133.02000000000001</v>
      </c>
      <c r="N579" s="23">
        <f>(H579-J579)/J579</f>
        <v>0.25925925925925924</v>
      </c>
      <c r="O579" s="24">
        <f>H579-J579</f>
        <v>21</v>
      </c>
    </row>
    <row r="580" spans="1:15" x14ac:dyDescent="0.25">
      <c r="A580" s="2">
        <v>14235</v>
      </c>
      <c r="B580" s="2">
        <v>52260</v>
      </c>
      <c r="C580" s="2" t="s">
        <v>38</v>
      </c>
      <c r="G580" s="3"/>
      <c r="H580" s="3">
        <v>257</v>
      </c>
      <c r="I580" s="2">
        <v>222</v>
      </c>
      <c r="J580" s="4">
        <f>[1]Expense!I284</f>
        <v>222</v>
      </c>
      <c r="K580" s="4">
        <f>[2]Expense!K261</f>
        <v>263</v>
      </c>
      <c r="L580" s="4">
        <v>523</v>
      </c>
      <c r="M580" s="4">
        <v>609</v>
      </c>
      <c r="N580" s="23">
        <f>(H580-J580)/J580</f>
        <v>0.15765765765765766</v>
      </c>
      <c r="O580" s="24">
        <f>H580-J580</f>
        <v>35</v>
      </c>
    </row>
    <row r="581" spans="1:15" x14ac:dyDescent="0.25">
      <c r="A581" s="2">
        <v>14235</v>
      </c>
      <c r="B581" s="2">
        <v>53410</v>
      </c>
      <c r="C581" s="2" t="s">
        <v>40</v>
      </c>
      <c r="G581" s="3"/>
      <c r="H581" s="4">
        <v>1594</v>
      </c>
      <c r="I581" s="2">
        <f>[1]Expense!N285</f>
        <v>1594</v>
      </c>
      <c r="J581" s="4">
        <f>[1]Expense!I285</f>
        <v>1594</v>
      </c>
      <c r="K581" s="4">
        <f>[2]Expense!K262</f>
        <v>1565.56</v>
      </c>
      <c r="L581" s="4">
        <v>1636.69</v>
      </c>
      <c r="M581" s="4">
        <v>1683.9</v>
      </c>
      <c r="N581" s="23">
        <f>(H581-J581)/J581</f>
        <v>0</v>
      </c>
      <c r="O581" s="24">
        <f>H581-J581</f>
        <v>0</v>
      </c>
    </row>
    <row r="582" spans="1:15" x14ac:dyDescent="0.25">
      <c r="C582" s="2" t="s">
        <v>433</v>
      </c>
      <c r="D582" s="2">
        <v>12</v>
      </c>
      <c r="E582" s="2">
        <v>8</v>
      </c>
      <c r="F582" s="2">
        <v>96</v>
      </c>
      <c r="G582" s="3"/>
      <c r="N582" s="23"/>
      <c r="O582" s="24">
        <f>H582-J582</f>
        <v>0</v>
      </c>
    </row>
    <row r="583" spans="1:15" x14ac:dyDescent="0.25">
      <c r="C583" s="2" t="s">
        <v>434</v>
      </c>
      <c r="D583" s="2">
        <v>12</v>
      </c>
      <c r="E583" s="2">
        <v>75</v>
      </c>
      <c r="F583" s="2">
        <v>900</v>
      </c>
      <c r="G583" s="3"/>
      <c r="N583" s="23"/>
      <c r="O583" s="24">
        <f>H583-J583</f>
        <v>0</v>
      </c>
    </row>
    <row r="584" spans="1:15" x14ac:dyDescent="0.25">
      <c r="C584" s="2" t="s">
        <v>435</v>
      </c>
      <c r="D584" s="2">
        <v>52</v>
      </c>
      <c r="E584" s="2">
        <v>11.5</v>
      </c>
      <c r="F584" s="2">
        <v>598</v>
      </c>
      <c r="G584" s="3"/>
      <c r="N584" s="23"/>
      <c r="O584" s="24">
        <f>H584-J584</f>
        <v>0</v>
      </c>
    </row>
    <row r="585" spans="1:15" x14ac:dyDescent="0.25">
      <c r="A585" s="2">
        <v>14235</v>
      </c>
      <c r="B585" s="2">
        <v>53703</v>
      </c>
      <c r="C585" s="2" t="s">
        <v>436</v>
      </c>
      <c r="G585" s="3"/>
      <c r="H585" s="4">
        <v>1739</v>
      </c>
      <c r="I585" s="2">
        <f>[1]Expense!N286</f>
        <v>0</v>
      </c>
      <c r="J585" s="4">
        <f>[1]Expense!I286</f>
        <v>1685</v>
      </c>
      <c r="K585" s="4">
        <f>[2]Expense!K263</f>
        <v>1444.99</v>
      </c>
      <c r="L585" s="4">
        <v>1211.06</v>
      </c>
      <c r="M585" s="4">
        <v>0</v>
      </c>
      <c r="N585" s="23">
        <f>(H585-J585)/J585</f>
        <v>3.2047477744807124E-2</v>
      </c>
      <c r="O585" s="24">
        <f>H585-J585</f>
        <v>54</v>
      </c>
    </row>
    <row r="586" spans="1:15" x14ac:dyDescent="0.25">
      <c r="C586" s="2" t="s">
        <v>437</v>
      </c>
      <c r="G586" s="3"/>
      <c r="H586" s="4"/>
      <c r="N586" s="23"/>
      <c r="O586" s="24">
        <f>H586-J586</f>
        <v>0</v>
      </c>
    </row>
    <row r="587" spans="1:15" x14ac:dyDescent="0.25">
      <c r="C587" s="2" t="s">
        <v>438</v>
      </c>
      <c r="G587" s="3"/>
      <c r="H587" s="4"/>
      <c r="N587" s="23"/>
      <c r="O587" s="24">
        <f>H587-J587</f>
        <v>0</v>
      </c>
    </row>
    <row r="588" spans="1:15" x14ac:dyDescent="0.25">
      <c r="A588" s="2">
        <v>14235</v>
      </c>
      <c r="B588" s="2">
        <v>54800</v>
      </c>
      <c r="C588" s="2" t="s">
        <v>52</v>
      </c>
      <c r="G588" s="3"/>
      <c r="H588" s="3">
        <v>4628</v>
      </c>
      <c r="I588" s="28">
        <f>[1]Expense!N287</f>
        <v>3929.28</v>
      </c>
      <c r="J588" s="4">
        <f>[1]Expense!I287</f>
        <v>3930</v>
      </c>
      <c r="K588" s="4">
        <f>[2]Expense!K264</f>
        <v>3572.08</v>
      </c>
      <c r="L588" s="4">
        <v>3338.38</v>
      </c>
      <c r="M588" s="4">
        <v>3119.98</v>
      </c>
      <c r="N588" s="23">
        <f>(H588-J588)/J588</f>
        <v>0.17760814249363868</v>
      </c>
      <c r="O588" s="24">
        <f>H588-J588</f>
        <v>698</v>
      </c>
    </row>
    <row r="589" spans="1:15" x14ac:dyDescent="0.25">
      <c r="A589" s="2">
        <v>14235</v>
      </c>
      <c r="B589" s="2">
        <v>56100</v>
      </c>
      <c r="C589" s="2" t="s">
        <v>153</v>
      </c>
      <c r="G589" s="3"/>
      <c r="H589" s="4">
        <v>1775</v>
      </c>
      <c r="I589" s="2">
        <f>[1]Expense!N288</f>
        <v>1000</v>
      </c>
      <c r="J589" s="4">
        <f>[1]Expense!I288</f>
        <v>1710</v>
      </c>
      <c r="K589" s="4">
        <f>[2]Expense!K265</f>
        <v>597.74</v>
      </c>
      <c r="L589" s="4">
        <v>1158.3800000000001</v>
      </c>
      <c r="M589" s="4">
        <v>1853.78</v>
      </c>
      <c r="N589" s="23">
        <f>(H589-J589)/J589</f>
        <v>3.8011695906432746E-2</v>
      </c>
      <c r="O589" s="24">
        <f>H589-J589</f>
        <v>65</v>
      </c>
    </row>
    <row r="590" spans="1:15" x14ac:dyDescent="0.25">
      <c r="A590" s="2">
        <v>14235</v>
      </c>
      <c r="B590" s="2">
        <v>56110</v>
      </c>
      <c r="C590" s="2" t="s">
        <v>197</v>
      </c>
      <c r="G590" s="3"/>
      <c r="H590" s="4">
        <v>500</v>
      </c>
      <c r="I590" s="2">
        <f>[1]Expense!N289</f>
        <v>0</v>
      </c>
      <c r="J590" s="4">
        <f>[1]Expense!I289</f>
        <v>430</v>
      </c>
      <c r="K590" s="4">
        <f>[2]Expense!K266</f>
        <v>160</v>
      </c>
      <c r="L590" s="4">
        <v>90.44</v>
      </c>
      <c r="M590" s="4">
        <v>327.75</v>
      </c>
      <c r="N590" s="23">
        <f>(H590-J590)/J590</f>
        <v>0.16279069767441862</v>
      </c>
      <c r="O590" s="24">
        <f>H590-J590</f>
        <v>70</v>
      </c>
    </row>
    <row r="591" spans="1:15" x14ac:dyDescent="0.25">
      <c r="A591" s="2" t="s">
        <v>439</v>
      </c>
      <c r="B591" s="2">
        <v>56130</v>
      </c>
      <c r="C591" s="2" t="s">
        <v>440</v>
      </c>
      <c r="G591" s="3"/>
      <c r="H591" s="3">
        <v>400</v>
      </c>
      <c r="I591" s="2">
        <f>[1]Expense!N290</f>
        <v>532</v>
      </c>
      <c r="J591" s="4">
        <f>[1]Expense!I290</f>
        <v>0</v>
      </c>
      <c r="N591" s="23"/>
      <c r="O591" s="24">
        <f>H591-J591</f>
        <v>400</v>
      </c>
    </row>
    <row r="592" spans="1:15" x14ac:dyDescent="0.25">
      <c r="A592" s="2">
        <v>14235</v>
      </c>
      <c r="B592" s="2">
        <v>56200</v>
      </c>
      <c r="C592" s="2" t="s">
        <v>56</v>
      </c>
      <c r="G592" s="3"/>
      <c r="H592" s="4">
        <v>600</v>
      </c>
      <c r="I592" s="2">
        <f>[1]Expense!N291</f>
        <v>560</v>
      </c>
      <c r="J592" s="4">
        <f>[1]Expense!I291</f>
        <v>560</v>
      </c>
      <c r="K592" s="4">
        <f>[2]Expense!K267</f>
        <v>545.79</v>
      </c>
      <c r="L592" s="4">
        <v>2419.39</v>
      </c>
      <c r="M592" s="4">
        <f>298.91+69.98</f>
        <v>368.89000000000004</v>
      </c>
      <c r="N592" s="23">
        <f>(H592-J592)/J592</f>
        <v>7.1428571428571425E-2</v>
      </c>
      <c r="O592" s="24">
        <f>H592-J592</f>
        <v>40</v>
      </c>
    </row>
    <row r="593" spans="1:15" x14ac:dyDescent="0.25">
      <c r="A593" s="2">
        <v>14235</v>
      </c>
      <c r="B593" s="2">
        <v>56250</v>
      </c>
      <c r="C593" s="2" t="s">
        <v>57</v>
      </c>
      <c r="G593" s="3"/>
      <c r="H593" s="4">
        <v>20</v>
      </c>
      <c r="I593" s="2">
        <f>[1]Expense!N292</f>
        <v>30</v>
      </c>
      <c r="J593" s="4">
        <f>[1]Expense!I292</f>
        <v>30</v>
      </c>
      <c r="K593" s="4">
        <f>[2]Expense!K268</f>
        <v>24.94</v>
      </c>
      <c r="L593" s="4">
        <v>28.41</v>
      </c>
      <c r="M593" s="4">
        <v>18.8</v>
      </c>
      <c r="N593" s="23">
        <f>(H593-J593)/J593</f>
        <v>-0.33333333333333331</v>
      </c>
      <c r="O593" s="24">
        <f>H593-J593</f>
        <v>-10</v>
      </c>
    </row>
    <row r="594" spans="1:15" x14ac:dyDescent="0.25">
      <c r="A594" s="2">
        <v>14235</v>
      </c>
      <c r="B594" s="2">
        <v>56350</v>
      </c>
      <c r="C594" s="2" t="s">
        <v>200</v>
      </c>
      <c r="G594" s="3"/>
      <c r="H594" s="4">
        <v>425</v>
      </c>
      <c r="I594" s="2">
        <f>[1]Expense!N293</f>
        <v>400</v>
      </c>
      <c r="J594" s="4">
        <f>[1]Expense!I293</f>
        <v>400</v>
      </c>
      <c r="K594" s="4">
        <f>[2]Expense!K269</f>
        <v>170.79</v>
      </c>
      <c r="L594" s="4">
        <v>138.49</v>
      </c>
      <c r="M594" s="4">
        <v>60.2</v>
      </c>
      <c r="N594" s="23">
        <f>(H594-J594)/J594</f>
        <v>6.25E-2</v>
      </c>
      <c r="O594" s="24">
        <f>H594-J594</f>
        <v>25</v>
      </c>
    </row>
    <row r="595" spans="1:15" x14ac:dyDescent="0.25">
      <c r="A595" s="2">
        <v>14235</v>
      </c>
      <c r="B595" s="2">
        <v>56600</v>
      </c>
      <c r="C595" s="2" t="s">
        <v>203</v>
      </c>
      <c r="G595" s="3"/>
      <c r="H595" s="4">
        <v>750</v>
      </c>
      <c r="I595" s="2">
        <f>[1]Expense!N294</f>
        <v>2205</v>
      </c>
      <c r="J595" s="4">
        <f>[1]Expense!I294</f>
        <v>2205</v>
      </c>
      <c r="K595" s="4">
        <f>[2]Expense!K270</f>
        <v>92.5</v>
      </c>
      <c r="L595" s="4">
        <v>952</v>
      </c>
      <c r="M595" s="4">
        <v>0</v>
      </c>
      <c r="N595" s="23">
        <f>(H595-J595)/J595</f>
        <v>-0.65986394557823125</v>
      </c>
      <c r="O595" s="24">
        <f>H595-J595</f>
        <v>-1455</v>
      </c>
    </row>
    <row r="596" spans="1:15" s="5" customFormat="1" x14ac:dyDescent="0.25">
      <c r="A596" s="5" t="s">
        <v>23</v>
      </c>
      <c r="B596" s="5" t="s">
        <v>441</v>
      </c>
      <c r="G596" s="21">
        <f t="shared" ref="G596:M596" si="12">SUM(G576:G595)</f>
        <v>0</v>
      </c>
      <c r="H596" s="21">
        <f t="shared" si="12"/>
        <v>174240</v>
      </c>
      <c r="I596" s="22">
        <f t="shared" si="12"/>
        <v>145052.85</v>
      </c>
      <c r="J596" s="22">
        <f t="shared" si="12"/>
        <v>159872</v>
      </c>
      <c r="K596" s="22">
        <f t="shared" si="12"/>
        <v>140347.62999999998</v>
      </c>
      <c r="L596" s="22">
        <f t="shared" si="12"/>
        <v>134286.90000000002</v>
      </c>
      <c r="M596" s="22">
        <f t="shared" si="12"/>
        <v>139282.59000000003</v>
      </c>
      <c r="N596" s="25">
        <f>(H596-J596)/J596</f>
        <v>8.9871897518014415E-2</v>
      </c>
      <c r="O596" s="26">
        <f>H596-J596</f>
        <v>14368</v>
      </c>
    </row>
    <row r="597" spans="1:15" x14ac:dyDescent="0.25">
      <c r="I597" s="22"/>
      <c r="K597" s="22"/>
      <c r="N597" s="23"/>
      <c r="O597" s="24">
        <f>H597-J597</f>
        <v>0</v>
      </c>
    </row>
    <row r="598" spans="1:15" s="5" customFormat="1" x14ac:dyDescent="0.25">
      <c r="A598" s="5">
        <v>14441</v>
      </c>
      <c r="B598" s="5" t="s">
        <v>442</v>
      </c>
      <c r="H598" s="21"/>
      <c r="I598" s="2"/>
      <c r="J598" s="4"/>
      <c r="K598" s="4"/>
      <c r="L598" s="22"/>
      <c r="M598" s="22"/>
      <c r="N598" s="23"/>
      <c r="O598" s="24">
        <f>H598-J598</f>
        <v>0</v>
      </c>
    </row>
    <row r="599" spans="1:15" x14ac:dyDescent="0.25">
      <c r="A599" s="2">
        <v>14441</v>
      </c>
      <c r="B599" s="2">
        <v>53500</v>
      </c>
      <c r="C599" s="2" t="s">
        <v>443</v>
      </c>
      <c r="G599" s="3"/>
      <c r="H599" s="3">
        <v>7668417</v>
      </c>
      <c r="I599" s="4">
        <f>[1]Expense!$N$298</f>
        <v>7564875</v>
      </c>
      <c r="J599" s="4">
        <v>7707120</v>
      </c>
      <c r="K599" s="4">
        <f>[2]Expense!K274</f>
        <v>7509312</v>
      </c>
      <c r="L599" s="4">
        <v>7319245</v>
      </c>
      <c r="M599" s="4">
        <v>10133527</v>
      </c>
      <c r="N599" s="23">
        <f>(H599-J599)/J599</f>
        <v>-5.0217201756298071E-3</v>
      </c>
      <c r="O599" s="24">
        <f>H599-J599</f>
        <v>-38703</v>
      </c>
    </row>
    <row r="600" spans="1:15" x14ac:dyDescent="0.25">
      <c r="C600" s="2" t="s">
        <v>444</v>
      </c>
      <c r="G600" s="3"/>
      <c r="I600" s="4"/>
      <c r="N600" s="23"/>
      <c r="O600" s="24">
        <f>H600-J600</f>
        <v>0</v>
      </c>
    </row>
    <row r="601" spans="1:15" x14ac:dyDescent="0.25">
      <c r="A601" s="2">
        <v>14441</v>
      </c>
      <c r="B601" s="2">
        <v>53560</v>
      </c>
      <c r="C601" s="2" t="s">
        <v>445</v>
      </c>
      <c r="K601" s="22"/>
      <c r="L601" s="4">
        <v>0</v>
      </c>
      <c r="M601" s="4">
        <v>293752</v>
      </c>
      <c r="N601" s="23"/>
      <c r="O601" s="24">
        <f>H601-J601</f>
        <v>0</v>
      </c>
    </row>
    <row r="602" spans="1:15" s="5" customFormat="1" x14ac:dyDescent="0.25">
      <c r="A602" s="5" t="s">
        <v>23</v>
      </c>
      <c r="B602" s="5" t="s">
        <v>446</v>
      </c>
      <c r="G602" s="21">
        <f t="shared" ref="G602:K602" si="13">SUM(G599)</f>
        <v>0</v>
      </c>
      <c r="H602" s="21">
        <f t="shared" si="13"/>
        <v>7668417</v>
      </c>
      <c r="I602" s="22">
        <f t="shared" si="13"/>
        <v>7564875</v>
      </c>
      <c r="J602" s="22">
        <f t="shared" si="13"/>
        <v>7707120</v>
      </c>
      <c r="K602" s="22">
        <f t="shared" si="13"/>
        <v>7509312</v>
      </c>
      <c r="L602" s="22">
        <f>SUM(L599:L601)</f>
        <v>7319245</v>
      </c>
      <c r="M602" s="22">
        <f>SUM(M599:M601)</f>
        <v>10427279</v>
      </c>
      <c r="N602" s="25">
        <f>(H602-J602)/J602</f>
        <v>-5.0217201756298071E-3</v>
      </c>
      <c r="O602" s="26">
        <f>H602-J602</f>
        <v>-38703</v>
      </c>
    </row>
    <row r="603" spans="1:15" x14ac:dyDescent="0.25">
      <c r="N603" s="23"/>
      <c r="O603" s="24">
        <f>H603-J603</f>
        <v>0</v>
      </c>
    </row>
    <row r="604" spans="1:15" x14ac:dyDescent="0.25">
      <c r="A604" s="2">
        <v>14610</v>
      </c>
      <c r="B604" s="2">
        <v>55010</v>
      </c>
      <c r="C604" s="2" t="s">
        <v>447</v>
      </c>
      <c r="G604" s="3"/>
      <c r="H604" s="4">
        <v>169125</v>
      </c>
      <c r="I604" s="2">
        <f>[1]Expense!N301</f>
        <v>165000</v>
      </c>
      <c r="J604" s="4">
        <f>[1]Expense!I301</f>
        <v>165000</v>
      </c>
      <c r="K604" s="4">
        <f>[2]Expense!K277</f>
        <v>159097</v>
      </c>
      <c r="L604" s="4">
        <v>164610.96</v>
      </c>
      <c r="M604" s="4">
        <v>161700</v>
      </c>
      <c r="N604" s="23">
        <f>(H604-J604)/J604</f>
        <v>2.5000000000000001E-2</v>
      </c>
      <c r="O604" s="24">
        <f>H604-J604</f>
        <v>4125</v>
      </c>
    </row>
    <row r="605" spans="1:15" x14ac:dyDescent="0.25">
      <c r="A605" s="2">
        <v>14619</v>
      </c>
      <c r="B605" s="2">
        <v>55020</v>
      </c>
      <c r="C605" s="2" t="s">
        <v>448</v>
      </c>
      <c r="G605" s="3"/>
      <c r="H605" s="4">
        <v>54000</v>
      </c>
      <c r="I605" s="2">
        <f>[1]Expense!N302</f>
        <v>50000</v>
      </c>
      <c r="J605" s="4">
        <f>[1]Expense!I302</f>
        <v>50000</v>
      </c>
      <c r="K605" s="4">
        <f>[2]Expense!K278</f>
        <v>50000</v>
      </c>
      <c r="L605" s="4">
        <v>50000</v>
      </c>
      <c r="M605" s="4">
        <v>60000</v>
      </c>
      <c r="N605" s="23">
        <f>(H605-J605)/J605</f>
        <v>0.08</v>
      </c>
      <c r="O605" s="24">
        <f>H605-J605</f>
        <v>4000</v>
      </c>
    </row>
    <row r="606" spans="1:15" x14ac:dyDescent="0.25">
      <c r="A606" s="2">
        <v>14660</v>
      </c>
      <c r="B606" s="2">
        <v>55025</v>
      </c>
      <c r="C606" s="2" t="s">
        <v>449</v>
      </c>
      <c r="G606" s="3"/>
      <c r="H606" s="4">
        <v>32000</v>
      </c>
      <c r="I606" s="2">
        <f>[1]Expense!N303</f>
        <v>32000</v>
      </c>
      <c r="J606" s="4">
        <f>[1]Expense!I303</f>
        <v>32000</v>
      </c>
      <c r="L606" s="4">
        <v>0</v>
      </c>
      <c r="M606" s="4">
        <v>0</v>
      </c>
      <c r="N606" s="23">
        <f>(H606-J606)/J606</f>
        <v>0</v>
      </c>
      <c r="O606" s="24">
        <f>H606-J606</f>
        <v>0</v>
      </c>
    </row>
    <row r="607" spans="1:15" x14ac:dyDescent="0.25">
      <c r="A607" s="2">
        <v>14660</v>
      </c>
      <c r="B607" s="2">
        <v>55030</v>
      </c>
      <c r="C607" s="2" t="s">
        <v>450</v>
      </c>
      <c r="G607" s="3"/>
      <c r="H607" s="4">
        <v>56000</v>
      </c>
      <c r="I607" s="2">
        <f>[1]Expense!N304</f>
        <v>56000</v>
      </c>
      <c r="J607" s="4">
        <f>[1]Expense!I304</f>
        <v>56000</v>
      </c>
      <c r="K607" s="4">
        <f>[2]Expense!K279</f>
        <v>56000</v>
      </c>
      <c r="L607" s="4">
        <v>47905</v>
      </c>
      <c r="M607" s="4">
        <v>56000</v>
      </c>
      <c r="N607" s="23">
        <f>(H607-J607)/J607</f>
        <v>0</v>
      </c>
      <c r="O607" s="24">
        <f>H607-J607</f>
        <v>0</v>
      </c>
    </row>
    <row r="608" spans="1:15" x14ac:dyDescent="0.25">
      <c r="A608" s="31">
        <v>14660</v>
      </c>
      <c r="B608" s="2">
        <v>55031</v>
      </c>
      <c r="C608" s="2" t="s">
        <v>451</v>
      </c>
      <c r="G608" s="3"/>
      <c r="H608" s="4">
        <v>10000</v>
      </c>
      <c r="N608" s="23"/>
      <c r="O608" s="24">
        <f>H608-J608</f>
        <v>10000</v>
      </c>
    </row>
    <row r="609" spans="1:15" s="5" customFormat="1" x14ac:dyDescent="0.25">
      <c r="A609" s="5" t="s">
        <v>23</v>
      </c>
      <c r="B609" s="5" t="s">
        <v>452</v>
      </c>
      <c r="G609" s="21">
        <f>SUM(G604:G607)</f>
        <v>0</v>
      </c>
      <c r="H609" s="21">
        <f>SUM(H604:H608)</f>
        <v>321125</v>
      </c>
      <c r="I609" s="22">
        <f t="shared" ref="I609:M609" si="14">SUM(I604:I608)</f>
        <v>303000</v>
      </c>
      <c r="J609" s="22">
        <f t="shared" si="14"/>
        <v>303000</v>
      </c>
      <c r="K609" s="22">
        <f t="shared" si="14"/>
        <v>265097</v>
      </c>
      <c r="L609" s="22">
        <f t="shared" si="14"/>
        <v>262515.95999999996</v>
      </c>
      <c r="M609" s="22">
        <f t="shared" si="14"/>
        <v>277700</v>
      </c>
      <c r="N609" s="25">
        <f>(H609-J609)/J609</f>
        <v>5.9818481848184821E-2</v>
      </c>
      <c r="O609" s="26">
        <f>H609-J609</f>
        <v>18125</v>
      </c>
    </row>
    <row r="610" spans="1:15" x14ac:dyDescent="0.25">
      <c r="J610" s="22"/>
      <c r="K610" s="22"/>
      <c r="N610" s="23"/>
      <c r="O610" s="24">
        <f>H610-J610</f>
        <v>0</v>
      </c>
    </row>
    <row r="611" spans="1:15" s="5" customFormat="1" x14ac:dyDescent="0.25">
      <c r="A611" s="5">
        <v>14700</v>
      </c>
      <c r="B611" s="5" t="s">
        <v>453</v>
      </c>
      <c r="H611" s="21"/>
      <c r="I611" s="2"/>
      <c r="J611" s="4"/>
      <c r="K611" s="4"/>
      <c r="L611" s="22"/>
      <c r="M611" s="22"/>
      <c r="N611" s="23"/>
      <c r="O611" s="24">
        <f>H611-J611</f>
        <v>0</v>
      </c>
    </row>
    <row r="612" spans="1:15" x14ac:dyDescent="0.25">
      <c r="A612" s="2">
        <v>14700</v>
      </c>
      <c r="B612" s="2">
        <v>53902</v>
      </c>
      <c r="C612" s="2" t="s">
        <v>454</v>
      </c>
      <c r="G612" s="3"/>
      <c r="H612" s="4">
        <v>9500</v>
      </c>
      <c r="I612" s="4">
        <f>[1]Expense!N308</f>
        <v>9000</v>
      </c>
      <c r="J612" s="4">
        <f>[1]Expense!I308</f>
        <v>9000</v>
      </c>
      <c r="K612" s="4">
        <f>[2]Expense!K283</f>
        <v>6900</v>
      </c>
      <c r="L612" s="4">
        <v>13350</v>
      </c>
      <c r="M612" s="4">
        <v>0</v>
      </c>
      <c r="N612" s="23">
        <f>(H612-J612)/J612</f>
        <v>5.5555555555555552E-2</v>
      </c>
      <c r="O612" s="24">
        <f>H612-J612</f>
        <v>500</v>
      </c>
    </row>
    <row r="613" spans="1:15" x14ac:dyDescent="0.25">
      <c r="A613" s="2">
        <v>14700</v>
      </c>
      <c r="B613" s="2">
        <v>59800</v>
      </c>
      <c r="C613" s="2" t="s">
        <v>455</v>
      </c>
      <c r="G613" s="3"/>
      <c r="H613" s="4">
        <v>204895</v>
      </c>
      <c r="I613" s="4">
        <f>[1]Expense!N309</f>
        <v>195365</v>
      </c>
      <c r="J613" s="4">
        <f>[1]Expense!I309</f>
        <v>195365</v>
      </c>
      <c r="K613" s="4">
        <f>[2]Expense!K284</f>
        <v>185835</v>
      </c>
      <c r="L613" s="4">
        <v>176305</v>
      </c>
      <c r="M613" s="4">
        <v>166775</v>
      </c>
      <c r="N613" s="23">
        <f>(H613-J613)/J613</f>
        <v>4.878048780487805E-2</v>
      </c>
      <c r="O613" s="24">
        <f>H613-J613</f>
        <v>9530</v>
      </c>
    </row>
    <row r="614" spans="1:15" x14ac:dyDescent="0.25">
      <c r="C614" s="2" t="s">
        <v>456</v>
      </c>
      <c r="G614" s="3"/>
      <c r="H614" s="4"/>
      <c r="I614" s="4"/>
      <c r="N614" s="23"/>
      <c r="O614" s="24">
        <f>H614-J614</f>
        <v>0</v>
      </c>
    </row>
    <row r="615" spans="1:15" x14ac:dyDescent="0.25">
      <c r="A615" s="2">
        <v>14700</v>
      </c>
      <c r="B615" s="2">
        <v>59810</v>
      </c>
      <c r="C615" s="2" t="s">
        <v>457</v>
      </c>
      <c r="G615" s="3"/>
      <c r="H615" s="4">
        <v>488369</v>
      </c>
      <c r="I615" s="4">
        <f>[1]Expense!N310</f>
        <v>442961</v>
      </c>
      <c r="J615" s="4">
        <f>[1]Expense!I310</f>
        <v>442961</v>
      </c>
      <c r="K615" s="4">
        <f>[2]Expense!K285</f>
        <v>283564.63</v>
      </c>
      <c r="L615" s="4">
        <v>289555.11</v>
      </c>
      <c r="M615" s="4">
        <v>325522.96000000002</v>
      </c>
      <c r="N615" s="23">
        <f>(H615-J615)/J615</f>
        <v>0.1025101532640571</v>
      </c>
      <c r="O615" s="24">
        <f>H615-J615</f>
        <v>45408</v>
      </c>
    </row>
    <row r="616" spans="1:15" x14ac:dyDescent="0.25">
      <c r="C616" s="2" t="s">
        <v>458</v>
      </c>
      <c r="F616" s="2">
        <v>251998</v>
      </c>
      <c r="G616" s="3"/>
      <c r="I616" s="4"/>
      <c r="N616" s="23"/>
      <c r="O616" s="24">
        <f>H616-J616</f>
        <v>0</v>
      </c>
    </row>
    <row r="617" spans="1:15" x14ac:dyDescent="0.25">
      <c r="C617" s="2" t="s">
        <v>459</v>
      </c>
      <c r="F617" s="2">
        <v>236371</v>
      </c>
      <c r="G617" s="3"/>
      <c r="I617" s="4"/>
      <c r="N617" s="23"/>
      <c r="O617" s="24">
        <f>H617-J617</f>
        <v>0</v>
      </c>
    </row>
    <row r="618" spans="1:15" s="5" customFormat="1" x14ac:dyDescent="0.25">
      <c r="A618" s="5" t="s">
        <v>23</v>
      </c>
      <c r="B618" s="5" t="s">
        <v>460</v>
      </c>
      <c r="G618" s="21">
        <f t="shared" ref="G618:K618" si="15">SUM(G612:G615)</f>
        <v>0</v>
      </c>
      <c r="H618" s="21">
        <f t="shared" si="15"/>
        <v>702764</v>
      </c>
      <c r="I618" s="22">
        <f t="shared" si="15"/>
        <v>647326</v>
      </c>
      <c r="J618" s="22">
        <f t="shared" si="15"/>
        <v>647326</v>
      </c>
      <c r="K618" s="22">
        <f t="shared" si="15"/>
        <v>476299.63</v>
      </c>
      <c r="L618" s="22">
        <f>SUM(L612:L615)</f>
        <v>479210.11</v>
      </c>
      <c r="M618" s="22">
        <f>SUM(M612:M615)</f>
        <v>492297.96</v>
      </c>
      <c r="N618" s="25">
        <f>(H618-J618)/J618</f>
        <v>8.5641546917627279E-2</v>
      </c>
      <c r="O618" s="26">
        <f>H618-J618</f>
        <v>55438</v>
      </c>
    </row>
    <row r="619" spans="1:15" x14ac:dyDescent="0.25">
      <c r="K619" s="22"/>
      <c r="N619" s="23"/>
      <c r="O619" s="24">
        <f>H619-J619</f>
        <v>0</v>
      </c>
    </row>
    <row r="620" spans="1:15" s="5" customFormat="1" x14ac:dyDescent="0.25">
      <c r="A620" s="5">
        <v>14900</v>
      </c>
      <c r="B620" s="5" t="s">
        <v>461</v>
      </c>
      <c r="H620" s="21"/>
      <c r="I620" s="2"/>
      <c r="J620" s="4"/>
      <c r="K620" s="4"/>
      <c r="L620" s="22"/>
      <c r="M620" s="22"/>
      <c r="N620" s="23"/>
      <c r="O620" s="24">
        <f>H620-J620</f>
        <v>0</v>
      </c>
    </row>
    <row r="621" spans="1:15" x14ac:dyDescent="0.25">
      <c r="A621" s="2">
        <v>14900</v>
      </c>
      <c r="B621" s="2">
        <v>57000</v>
      </c>
      <c r="C621" s="2" t="s">
        <v>462</v>
      </c>
      <c r="H621" s="3">
        <v>55000</v>
      </c>
      <c r="I621" s="5"/>
      <c r="K621" s="4">
        <f>[2]Expense!K289</f>
        <v>211105</v>
      </c>
      <c r="L621" s="4">
        <v>335762.52</v>
      </c>
      <c r="M621" s="4">
        <v>151247</v>
      </c>
      <c r="N621" s="23"/>
      <c r="O621" s="24">
        <f>H621-J621</f>
        <v>55000</v>
      </c>
    </row>
    <row r="622" spans="1:15" x14ac:dyDescent="0.25">
      <c r="C622" s="2" t="s">
        <v>463</v>
      </c>
      <c r="I622" s="5"/>
      <c r="N622" s="23"/>
      <c r="O622" s="24">
        <f>H622-J622</f>
        <v>0</v>
      </c>
    </row>
    <row r="623" spans="1:15" s="5" customFormat="1" x14ac:dyDescent="0.25">
      <c r="A623" s="5" t="s">
        <v>23</v>
      </c>
      <c r="B623" s="5" t="s">
        <v>464</v>
      </c>
      <c r="G623" s="21">
        <f>SUM(G621:G621)</f>
        <v>0</v>
      </c>
      <c r="H623" s="21">
        <f>SUM(H621:H621)</f>
        <v>55000</v>
      </c>
      <c r="I623" s="22">
        <f t="shared" ref="I623:M623" si="16">SUM(I621:I621)</f>
        <v>0</v>
      </c>
      <c r="J623" s="22">
        <f t="shared" si="16"/>
        <v>0</v>
      </c>
      <c r="K623" s="22">
        <f>SUM(K621:K621)</f>
        <v>211105</v>
      </c>
      <c r="L623" s="22">
        <f t="shared" si="16"/>
        <v>335762.52</v>
      </c>
      <c r="M623" s="22">
        <f t="shared" si="16"/>
        <v>151247</v>
      </c>
      <c r="N623" s="23"/>
      <c r="O623" s="26">
        <f>H623-J623</f>
        <v>55000</v>
      </c>
    </row>
    <row r="624" spans="1:15" s="5" customFormat="1" x14ac:dyDescent="0.25">
      <c r="A624" s="5" t="s">
        <v>23</v>
      </c>
      <c r="B624" s="5" t="s">
        <v>465</v>
      </c>
      <c r="G624" s="21">
        <f t="shared" ref="G624:M624" si="17">G623+G618+G609+G602+G596+G573+G444+G315+G311+G216+G175+G143+G100+G50+G11</f>
        <v>0</v>
      </c>
      <c r="H624" s="21">
        <f t="shared" si="17"/>
        <v>22350690</v>
      </c>
      <c r="I624" s="22">
        <f t="shared" si="17"/>
        <v>20267215.48</v>
      </c>
      <c r="J624" s="22">
        <f t="shared" si="17"/>
        <v>21040938.690000005</v>
      </c>
      <c r="K624" s="22">
        <f t="shared" si="17"/>
        <v>18478107.32</v>
      </c>
      <c r="L624" s="22">
        <f t="shared" si="17"/>
        <v>18081155.580000002</v>
      </c>
      <c r="M624" s="22">
        <f t="shared" si="17"/>
        <v>21044386</v>
      </c>
      <c r="N624" s="25">
        <f>(H624-J624)/J624</f>
        <v>6.2247760392100386E-2</v>
      </c>
      <c r="O624" s="26">
        <f>H624-J624</f>
        <v>1309751.3099999949</v>
      </c>
    </row>
    <row r="625" spans="1:15" s="5" customFormat="1" x14ac:dyDescent="0.25">
      <c r="H625" s="21"/>
      <c r="I625" s="2"/>
      <c r="J625" s="22"/>
      <c r="K625" s="22"/>
      <c r="L625" s="22"/>
      <c r="M625" s="22"/>
      <c r="N625" s="23"/>
      <c r="O625" s="24">
        <f>H625-J625</f>
        <v>0</v>
      </c>
    </row>
    <row r="626" spans="1:15" x14ac:dyDescent="0.25">
      <c r="A626" s="5" t="s">
        <v>466</v>
      </c>
      <c r="I626" s="5"/>
      <c r="K626" s="22"/>
      <c r="N626" s="23"/>
      <c r="O626" s="24">
        <f>H626-J626</f>
        <v>0</v>
      </c>
    </row>
    <row r="627" spans="1:15" s="5" customFormat="1" x14ac:dyDescent="0.25">
      <c r="A627" s="5">
        <v>24700</v>
      </c>
      <c r="B627" s="5" t="s">
        <v>467</v>
      </c>
      <c r="H627" s="21"/>
      <c r="J627" s="4"/>
      <c r="K627" s="4"/>
      <c r="L627" s="22"/>
      <c r="M627" s="22"/>
      <c r="N627" s="23"/>
      <c r="O627" s="24">
        <f>H627-J627</f>
        <v>0</v>
      </c>
    </row>
    <row r="628" spans="1:15" x14ac:dyDescent="0.25">
      <c r="A628" s="2">
        <v>24700</v>
      </c>
      <c r="B628" s="2">
        <v>53902</v>
      </c>
      <c r="C628" s="2" t="s">
        <v>454</v>
      </c>
      <c r="G628" s="3"/>
      <c r="H628" s="4">
        <v>5500</v>
      </c>
      <c r="I628" s="4">
        <f>[1]Expense!N320</f>
        <v>5500</v>
      </c>
      <c r="J628" s="4">
        <f>[1]Expense!I320</f>
        <v>5500</v>
      </c>
      <c r="K628" s="4">
        <f>[2]Expense!K297</f>
        <v>4600</v>
      </c>
      <c r="L628" s="4">
        <v>5400</v>
      </c>
      <c r="M628" s="4">
        <v>0</v>
      </c>
      <c r="N628" s="23">
        <f>(H628-J628)/J628</f>
        <v>0</v>
      </c>
      <c r="O628" s="24">
        <f>H628-J628</f>
        <v>0</v>
      </c>
    </row>
    <row r="629" spans="1:15" x14ac:dyDescent="0.25">
      <c r="A629" s="2">
        <v>24700</v>
      </c>
      <c r="B629" s="2">
        <v>59800</v>
      </c>
      <c r="C629" s="2" t="s">
        <v>455</v>
      </c>
      <c r="G629" s="3"/>
      <c r="H629" s="4">
        <v>10105</v>
      </c>
      <c r="I629" s="4">
        <f>[1]Expense!N321</f>
        <v>9635</v>
      </c>
      <c r="J629" s="4">
        <f>[1]Expense!I321</f>
        <v>9635</v>
      </c>
      <c r="K629" s="4">
        <f>[2]Expense!K298</f>
        <v>9165</v>
      </c>
      <c r="L629" s="4">
        <v>8695</v>
      </c>
      <c r="M629" s="4">
        <v>8225</v>
      </c>
      <c r="N629" s="23">
        <f>(H629-J629)/J629</f>
        <v>4.878048780487805E-2</v>
      </c>
      <c r="O629" s="24">
        <f>H629-J629</f>
        <v>470</v>
      </c>
    </row>
    <row r="630" spans="1:15" x14ac:dyDescent="0.25">
      <c r="C630" s="2" t="s">
        <v>468</v>
      </c>
      <c r="G630" s="3"/>
      <c r="H630" s="4"/>
      <c r="I630" s="4"/>
      <c r="N630" s="23"/>
      <c r="O630" s="24">
        <f>H630-J630</f>
        <v>0</v>
      </c>
    </row>
    <row r="631" spans="1:15" x14ac:dyDescent="0.25">
      <c r="A631" s="2">
        <v>24700</v>
      </c>
      <c r="B631" s="2">
        <v>59810</v>
      </c>
      <c r="C631" s="2" t="s">
        <v>457</v>
      </c>
      <c r="G631" s="3"/>
      <c r="H631" s="4">
        <v>170010</v>
      </c>
      <c r="I631" s="4">
        <f>[1]Expense!N322</f>
        <v>134390</v>
      </c>
      <c r="J631" s="4">
        <f>[1]Expense!I322</f>
        <v>120390</v>
      </c>
      <c r="K631" s="4">
        <f>[2]Expense!K299</f>
        <v>21797.870000000003</v>
      </c>
      <c r="L631" s="4">
        <v>19913.77</v>
      </c>
      <c r="M631" s="4">
        <v>38641.480000000003</v>
      </c>
      <c r="N631" s="23">
        <f>(H631-J631)/J631</f>
        <v>0.4121604784450536</v>
      </c>
      <c r="O631" s="24">
        <f>H631-J631</f>
        <v>49620</v>
      </c>
    </row>
    <row r="632" spans="1:15" x14ac:dyDescent="0.25">
      <c r="C632" s="2" t="s">
        <v>469</v>
      </c>
      <c r="F632" s="2">
        <v>12428</v>
      </c>
      <c r="G632" s="3"/>
      <c r="I632" s="4"/>
      <c r="N632" s="23"/>
      <c r="O632" s="24">
        <f>H632-J632</f>
        <v>0</v>
      </c>
    </row>
    <row r="633" spans="1:15" x14ac:dyDescent="0.25">
      <c r="C633" s="2" t="s">
        <v>470</v>
      </c>
      <c r="F633" s="2">
        <v>157582</v>
      </c>
      <c r="G633" s="3"/>
      <c r="I633" s="4"/>
      <c r="N633" s="23"/>
      <c r="O633" s="24">
        <f>H633-J633</f>
        <v>0</v>
      </c>
    </row>
    <row r="634" spans="1:15" s="5" customFormat="1" x14ac:dyDescent="0.25">
      <c r="A634" s="5" t="s">
        <v>23</v>
      </c>
      <c r="B634" s="5" t="s">
        <v>471</v>
      </c>
      <c r="G634" s="21">
        <f>SUM(G628:G631)</f>
        <v>0</v>
      </c>
      <c r="H634" s="21">
        <f>SUM(H628:H631)</f>
        <v>185615</v>
      </c>
      <c r="I634" s="22">
        <f>[1]Expense!N323</f>
        <v>149525</v>
      </c>
      <c r="J634" s="22">
        <f>[1]Expense!I323</f>
        <v>135525</v>
      </c>
      <c r="K634" s="22">
        <f>SUM(K628:K631)</f>
        <v>35562.870000000003</v>
      </c>
      <c r="L634" s="22">
        <f t="shared" ref="L634:M634" si="18">SUM(L628:L631)</f>
        <v>34008.770000000004</v>
      </c>
      <c r="M634" s="22">
        <f t="shared" si="18"/>
        <v>46866.48</v>
      </c>
      <c r="N634" s="25">
        <f>(H634-J634)/J634</f>
        <v>0.3695997048515034</v>
      </c>
      <c r="O634" s="26">
        <f>H634-J634</f>
        <v>50090</v>
      </c>
    </row>
    <row r="635" spans="1:15" x14ac:dyDescent="0.25">
      <c r="I635" s="4">
        <f>[1]Expense!N324</f>
        <v>0</v>
      </c>
      <c r="J635" s="4">
        <f>[1]Expense!I324</f>
        <v>0</v>
      </c>
      <c r="K635" s="22"/>
      <c r="N635" s="23"/>
      <c r="O635" s="24">
        <f>H635-J635</f>
        <v>0</v>
      </c>
    </row>
    <row r="636" spans="1:15" s="5" customFormat="1" x14ac:dyDescent="0.25">
      <c r="A636" s="5">
        <v>25100</v>
      </c>
      <c r="B636" s="5" t="s">
        <v>472</v>
      </c>
      <c r="H636" s="21"/>
      <c r="I636" s="4">
        <f>[1]Expense!N325</f>
        <v>0</v>
      </c>
      <c r="J636" s="4">
        <f>[1]Expense!I325</f>
        <v>0</v>
      </c>
      <c r="K636" s="4"/>
      <c r="L636" s="22"/>
      <c r="M636" s="22"/>
      <c r="N636" s="23"/>
      <c r="O636" s="24">
        <f>H636-J636</f>
        <v>0</v>
      </c>
    </row>
    <row r="637" spans="1:15" x14ac:dyDescent="0.25">
      <c r="A637" s="2">
        <v>25100</v>
      </c>
      <c r="B637" s="2">
        <v>51100</v>
      </c>
      <c r="C637" s="2" t="s">
        <v>26</v>
      </c>
      <c r="G637" s="3"/>
      <c r="H637" s="4">
        <f>SUM(F638:F639)</f>
        <v>621750</v>
      </c>
      <c r="I637" s="4">
        <f>[1]Expense!N326</f>
        <v>557500</v>
      </c>
      <c r="J637" s="4">
        <f>[1]Expense!I326</f>
        <v>562100</v>
      </c>
      <c r="K637" s="4">
        <f>[2]Expense!K303</f>
        <v>540180.68000000005</v>
      </c>
      <c r="L637" s="4">
        <f>494348.84+700</f>
        <v>495048.84</v>
      </c>
      <c r="M637" s="4">
        <f>484789.74+4965</f>
        <v>489754.74</v>
      </c>
      <c r="N637" s="23">
        <f>(H637-J637)/J637</f>
        <v>0.1061199074897705</v>
      </c>
      <c r="O637" s="24">
        <f>H637-J637</f>
        <v>59650</v>
      </c>
    </row>
    <row r="638" spans="1:15" x14ac:dyDescent="0.25">
      <c r="C638" s="2" t="s">
        <v>473</v>
      </c>
      <c r="F638" s="24">
        <v>598524</v>
      </c>
      <c r="G638" s="3"/>
      <c r="H638" s="4"/>
      <c r="I638" s="4"/>
      <c r="N638" s="23"/>
      <c r="O638" s="24">
        <f>H638-J638</f>
        <v>0</v>
      </c>
    </row>
    <row r="639" spans="1:15" x14ac:dyDescent="0.25">
      <c r="C639" s="2" t="s">
        <v>474</v>
      </c>
      <c r="F639" s="4">
        <v>23226</v>
      </c>
      <c r="G639" s="3"/>
      <c r="H639" s="4"/>
      <c r="I639" s="4"/>
      <c r="N639" s="23"/>
      <c r="O639" s="24">
        <f>H639-J639</f>
        <v>0</v>
      </c>
    </row>
    <row r="640" spans="1:15" x14ac:dyDescent="0.25">
      <c r="A640" s="2">
        <v>25100</v>
      </c>
      <c r="B640" s="2">
        <v>51200</v>
      </c>
      <c r="C640" s="2" t="s">
        <v>27</v>
      </c>
      <c r="G640" s="3"/>
      <c r="H640" s="4">
        <v>44200</v>
      </c>
      <c r="I640" s="4">
        <f>[1]Expense!N327</f>
        <v>47750</v>
      </c>
      <c r="J640" s="4">
        <f>[1]Expense!I327</f>
        <v>41850</v>
      </c>
      <c r="K640" s="4">
        <f>[2]Expense!K304</f>
        <v>45434.51</v>
      </c>
      <c r="L640" s="4">
        <f>33188.95+250</f>
        <v>33438.949999999997</v>
      </c>
      <c r="M640" s="4">
        <f>36302.74+150</f>
        <v>36452.74</v>
      </c>
      <c r="N640" s="23">
        <f>(H640-J640)/J640</f>
        <v>5.6152927120669056E-2</v>
      </c>
      <c r="O640" s="24">
        <f>H640-J640</f>
        <v>2350</v>
      </c>
    </row>
    <row r="641" spans="1:15" x14ac:dyDescent="0.25">
      <c r="A641" s="2">
        <v>25100</v>
      </c>
      <c r="B641" s="2">
        <v>51400</v>
      </c>
      <c r="C641" s="2" t="s">
        <v>29</v>
      </c>
      <c r="G641" s="3"/>
      <c r="H641" s="4">
        <v>1500</v>
      </c>
      <c r="I641" s="4">
        <f>[1]Expense!N328</f>
        <v>1500</v>
      </c>
      <c r="J641" s="4">
        <f>[1]Expense!I328</f>
        <v>1000</v>
      </c>
      <c r="K641" s="4">
        <f>[2]Expense!K305</f>
        <v>1595.78</v>
      </c>
      <c r="L641" s="4">
        <v>72.459999999999994</v>
      </c>
      <c r="M641" s="4">
        <v>605.80999999999995</v>
      </c>
      <c r="N641" s="23">
        <f>(H641-J641)/J641</f>
        <v>0.5</v>
      </c>
      <c r="O641" s="24">
        <f>H641-J641</f>
        <v>500</v>
      </c>
    </row>
    <row r="642" spans="1:15" x14ac:dyDescent="0.25">
      <c r="A642" s="2">
        <v>25100</v>
      </c>
      <c r="B642" s="2">
        <v>51500</v>
      </c>
      <c r="C642" s="2" t="s">
        <v>94</v>
      </c>
      <c r="G642" s="3"/>
      <c r="H642" s="4">
        <f>SUM(F643:F644)</f>
        <v>16570</v>
      </c>
      <c r="I642" s="4">
        <f>[1]Expense!N329</f>
        <v>11000</v>
      </c>
      <c r="J642" s="4">
        <f>[1]Expense!I329</f>
        <v>4400</v>
      </c>
      <c r="K642" s="4">
        <f>[2]Expense!K306</f>
        <v>2067.4499999999998</v>
      </c>
      <c r="L642" s="4">
        <v>1000</v>
      </c>
      <c r="M642" s="4">
        <v>1000</v>
      </c>
      <c r="N642" s="23">
        <f>(H642-J642)/J642</f>
        <v>2.7659090909090911</v>
      </c>
      <c r="O642" s="24">
        <f>H642-J642</f>
        <v>12170</v>
      </c>
    </row>
    <row r="643" spans="1:15" x14ac:dyDescent="0.25">
      <c r="C643" s="2" t="s">
        <v>475</v>
      </c>
      <c r="F643" s="2">
        <v>14770</v>
      </c>
      <c r="G643" s="3"/>
      <c r="H643" s="4"/>
      <c r="I643" s="4"/>
      <c r="N643" s="23"/>
      <c r="O643" s="24">
        <f>H643-J643</f>
        <v>0</v>
      </c>
    </row>
    <row r="644" spans="1:15" x14ac:dyDescent="0.25">
      <c r="C644" s="2" t="s">
        <v>476</v>
      </c>
      <c r="F644" s="2">
        <v>1800</v>
      </c>
      <c r="G644" s="3"/>
      <c r="H644" s="4"/>
      <c r="I644" s="4"/>
      <c r="N644" s="23"/>
      <c r="O644" s="24">
        <f>H644-J644</f>
        <v>0</v>
      </c>
    </row>
    <row r="645" spans="1:15" x14ac:dyDescent="0.25">
      <c r="A645" s="2">
        <v>25100</v>
      </c>
      <c r="B645" s="2">
        <v>51510</v>
      </c>
      <c r="C645" s="2" t="s">
        <v>31</v>
      </c>
      <c r="G645" s="3"/>
      <c r="H645" s="4"/>
      <c r="I645" s="4"/>
      <c r="L645" s="4">
        <v>3751.23</v>
      </c>
      <c r="M645" s="4">
        <v>2981.44</v>
      </c>
      <c r="N645" s="23"/>
      <c r="O645" s="24">
        <f>H645-J645</f>
        <v>0</v>
      </c>
    </row>
    <row r="646" spans="1:15" x14ac:dyDescent="0.25">
      <c r="A646" s="2">
        <v>25100</v>
      </c>
      <c r="B646" s="2">
        <v>51520</v>
      </c>
      <c r="C646" s="2" t="s">
        <v>32</v>
      </c>
      <c r="G646" s="3"/>
      <c r="H646" s="4">
        <v>2650</v>
      </c>
      <c r="I646" s="4">
        <f>[1]Expense!N330</f>
        <v>2050</v>
      </c>
      <c r="J646" s="4">
        <f>[1]Expense!I330</f>
        <v>2050</v>
      </c>
      <c r="K646" s="4">
        <f>[2]Expense!K307</f>
        <v>1720</v>
      </c>
      <c r="L646" s="4">
        <v>1620</v>
      </c>
      <c r="M646" s="4">
        <v>1240</v>
      </c>
      <c r="N646" s="23">
        <f>(H646-J646)/J646</f>
        <v>0.29268292682926828</v>
      </c>
      <c r="O646" s="24">
        <f>H646-J646</f>
        <v>600</v>
      </c>
    </row>
    <row r="647" spans="1:15" x14ac:dyDescent="0.25">
      <c r="A647" s="2">
        <v>25100</v>
      </c>
      <c r="B647" s="2">
        <v>52100</v>
      </c>
      <c r="C647" s="2" t="s">
        <v>33</v>
      </c>
      <c r="H647" s="4">
        <v>160500</v>
      </c>
      <c r="I647" s="4">
        <f>[1]Expense!N331</f>
        <v>135000</v>
      </c>
      <c r="J647" s="4">
        <f>[1]Expense!I331</f>
        <v>118500</v>
      </c>
      <c r="K647" s="4">
        <f>[2]Expense!K308</f>
        <v>110788.04</v>
      </c>
      <c r="L647" s="4">
        <f>129032.87+245</f>
        <v>129277.87</v>
      </c>
      <c r="M647" s="4">
        <f>129357.56+120</f>
        <v>129477.56</v>
      </c>
      <c r="N647" s="23">
        <f>(H647-J647)/J647</f>
        <v>0.35443037974683544</v>
      </c>
      <c r="O647" s="24">
        <f>H647-J647</f>
        <v>42000</v>
      </c>
    </row>
    <row r="648" spans="1:15" x14ac:dyDescent="0.25">
      <c r="A648" s="2">
        <v>25100</v>
      </c>
      <c r="B648" s="2">
        <v>52140</v>
      </c>
      <c r="C648" s="2" t="s">
        <v>34</v>
      </c>
      <c r="H648" s="4">
        <v>2921</v>
      </c>
      <c r="I648" s="4">
        <f>[1]Expense!N332</f>
        <v>1650</v>
      </c>
      <c r="J648" s="4">
        <f>[1]Expense!I332</f>
        <v>1935</v>
      </c>
      <c r="N648" s="23">
        <f>(H648-J648)/J648</f>
        <v>0.50956072351421189</v>
      </c>
      <c r="O648" s="24">
        <f>H648-J648</f>
        <v>986</v>
      </c>
    </row>
    <row r="649" spans="1:15" x14ac:dyDescent="0.25">
      <c r="A649" s="2">
        <v>25100</v>
      </c>
      <c r="B649" s="2">
        <v>52200</v>
      </c>
      <c r="C649" s="2" t="s">
        <v>35</v>
      </c>
      <c r="G649" s="3"/>
      <c r="H649" s="4">
        <f>SUM(F650:F651)</f>
        <v>52100</v>
      </c>
      <c r="I649" s="4">
        <f>[1]Expense!N333</f>
        <v>47500</v>
      </c>
      <c r="J649" s="4">
        <f>[1]Expense!I333</f>
        <v>46800</v>
      </c>
      <c r="K649" s="4">
        <f>[2]Expense!K309</f>
        <v>43487.24</v>
      </c>
      <c r="L649" s="4">
        <f>39729.11+197</f>
        <v>39926.11</v>
      </c>
      <c r="M649" s="4">
        <f>39185.28+2134.74</f>
        <v>41320.019999999997</v>
      </c>
      <c r="N649" s="23">
        <f>(H649-J649)/J649</f>
        <v>0.11324786324786325</v>
      </c>
      <c r="O649" s="24">
        <f>H649-J649</f>
        <v>5300</v>
      </c>
    </row>
    <row r="650" spans="1:15" x14ac:dyDescent="0.25">
      <c r="C650" s="2" t="s">
        <v>475</v>
      </c>
      <c r="F650" s="2">
        <v>50323</v>
      </c>
      <c r="G650" s="3"/>
      <c r="H650" s="4"/>
      <c r="I650" s="4"/>
      <c r="N650" s="23"/>
      <c r="O650" s="24">
        <f>H650-J650</f>
        <v>0</v>
      </c>
    </row>
    <row r="651" spans="1:15" x14ac:dyDescent="0.25">
      <c r="C651" s="2" t="s">
        <v>476</v>
      </c>
      <c r="F651" s="2">
        <v>1777</v>
      </c>
      <c r="G651" s="3"/>
      <c r="H651" s="4"/>
      <c r="I651" s="4"/>
      <c r="N651" s="23"/>
      <c r="O651" s="24">
        <f>H651-J651</f>
        <v>0</v>
      </c>
    </row>
    <row r="652" spans="1:15" x14ac:dyDescent="0.25">
      <c r="A652" s="2">
        <v>25100</v>
      </c>
      <c r="B652" s="2">
        <v>52230</v>
      </c>
      <c r="C652" s="2" t="s">
        <v>36</v>
      </c>
      <c r="G652" s="3"/>
      <c r="H652" s="4">
        <f>SUM(F653:F654)</f>
        <v>86050</v>
      </c>
      <c r="I652" s="4">
        <f>[1]Expense!N334</f>
        <v>79000</v>
      </c>
      <c r="J652" s="4">
        <f>[1]Expense!I334</f>
        <v>78600</v>
      </c>
      <c r="K652" s="4">
        <f>[2]Expense!K310</f>
        <v>76352.37</v>
      </c>
      <c r="L652" s="4">
        <f>64154.51+78.23</f>
        <v>64232.740000000005</v>
      </c>
      <c r="M652" s="4">
        <f>53998.98+39.09</f>
        <v>54038.07</v>
      </c>
      <c r="N652" s="23">
        <f>(H652-J652)/J652</f>
        <v>9.4783715012722647E-2</v>
      </c>
      <c r="O652" s="24">
        <f>H652-J652</f>
        <v>7450</v>
      </c>
    </row>
    <row r="653" spans="1:15" x14ac:dyDescent="0.25">
      <c r="C653" s="2" t="s">
        <v>475</v>
      </c>
      <c r="F653" s="2">
        <v>82907</v>
      </c>
      <c r="G653" s="3"/>
      <c r="H653" s="4"/>
      <c r="I653" s="4"/>
      <c r="N653" s="23"/>
      <c r="O653" s="24">
        <f>H653-J653</f>
        <v>0</v>
      </c>
    </row>
    <row r="654" spans="1:15" x14ac:dyDescent="0.25">
      <c r="C654" s="2" t="s">
        <v>476</v>
      </c>
      <c r="F654" s="2">
        <v>3143</v>
      </c>
      <c r="G654" s="3"/>
      <c r="H654" s="4"/>
      <c r="I654" s="4"/>
      <c r="N654" s="23"/>
      <c r="O654" s="24">
        <f>H654-J654</f>
        <v>0</v>
      </c>
    </row>
    <row r="655" spans="1:15" x14ac:dyDescent="0.25">
      <c r="A655" s="2">
        <v>25100</v>
      </c>
      <c r="B655" s="2">
        <v>52250</v>
      </c>
      <c r="C655" s="2" t="s">
        <v>37</v>
      </c>
      <c r="G655" s="3"/>
      <c r="H655" s="3">
        <v>456</v>
      </c>
      <c r="I655" s="4">
        <f>[1]Expense!N335</f>
        <v>350</v>
      </c>
      <c r="J655" s="4">
        <f>[1]Expense!I335</f>
        <v>350</v>
      </c>
      <c r="K655" s="4">
        <f>[2]Expense!K311</f>
        <v>357.74</v>
      </c>
      <c r="L655" s="4">
        <v>966.21</v>
      </c>
      <c r="M655" s="4">
        <v>966.21</v>
      </c>
      <c r="N655" s="23">
        <f>(H655-J655)/J655</f>
        <v>0.30285714285714288</v>
      </c>
      <c r="O655" s="24">
        <f>H655-J655</f>
        <v>106</v>
      </c>
    </row>
    <row r="656" spans="1:15" x14ac:dyDescent="0.25">
      <c r="A656" s="2">
        <v>25100</v>
      </c>
      <c r="B656" s="2">
        <v>52260</v>
      </c>
      <c r="C656" s="2" t="s">
        <v>38</v>
      </c>
      <c r="G656" s="3"/>
      <c r="H656" s="3">
        <v>1236</v>
      </c>
      <c r="I656" s="4">
        <f>[1]Expense!N336</f>
        <v>1551</v>
      </c>
      <c r="J656" s="4">
        <f>[1]Expense!I336</f>
        <v>1551</v>
      </c>
      <c r="K656" s="4">
        <f>[2]Expense!K312</f>
        <v>1347</v>
      </c>
      <c r="L656" s="4">
        <v>26049</v>
      </c>
      <c r="M656" s="4">
        <v>22770</v>
      </c>
      <c r="N656" s="23">
        <f>(H656-J656)/J656</f>
        <v>-0.20309477756286268</v>
      </c>
      <c r="O656" s="24">
        <f>H656-J656</f>
        <v>-315</v>
      </c>
    </row>
    <row r="657" spans="1:15" x14ac:dyDescent="0.25">
      <c r="A657" s="2">
        <v>25100</v>
      </c>
      <c r="B657" s="2">
        <v>53000</v>
      </c>
      <c r="C657" s="2" t="s">
        <v>477</v>
      </c>
      <c r="G657" s="3"/>
      <c r="H657" s="3">
        <v>560000</v>
      </c>
      <c r="I657" s="4">
        <f>[1]Expense!N337</f>
        <v>550000</v>
      </c>
      <c r="J657" s="4">
        <f>[1]Expense!I337</f>
        <v>500000</v>
      </c>
      <c r="K657" s="4">
        <f>[2]Expense!K313</f>
        <v>480714</v>
      </c>
      <c r="L657" s="4">
        <v>545776</v>
      </c>
      <c r="M657" s="4">
        <v>663731</v>
      </c>
      <c r="N657" s="23">
        <f>(H657-J657)/J657</f>
        <v>0.12</v>
      </c>
      <c r="O657" s="24">
        <f>H657-J657</f>
        <v>60000</v>
      </c>
    </row>
    <row r="658" spans="1:15" x14ac:dyDescent="0.25">
      <c r="A658" s="2">
        <v>25100</v>
      </c>
      <c r="B658" s="2">
        <v>53010</v>
      </c>
      <c r="C658" s="2" t="s">
        <v>69</v>
      </c>
      <c r="G658" s="3"/>
      <c r="H658" s="4">
        <v>29900</v>
      </c>
      <c r="I658" s="4">
        <f>[1]Expense!N338</f>
        <v>32880</v>
      </c>
      <c r="J658" s="4">
        <f>[1]Expense!I338</f>
        <v>32880</v>
      </c>
      <c r="K658" s="4">
        <f>[2]Expense!K314</f>
        <v>19800</v>
      </c>
      <c r="L658" s="4">
        <v>17366.8</v>
      </c>
      <c r="M658" s="4">
        <v>15635</v>
      </c>
      <c r="N658" s="23">
        <f>(H658-J658)/J658</f>
        <v>-9.0632603406326034E-2</v>
      </c>
      <c r="O658" s="24">
        <f>H658-J658</f>
        <v>-2980</v>
      </c>
    </row>
    <row r="659" spans="1:15" x14ac:dyDescent="0.25">
      <c r="C659" s="2" t="s">
        <v>478</v>
      </c>
      <c r="F659" s="2">
        <v>20600</v>
      </c>
      <c r="G659" s="3"/>
      <c r="H659" s="4"/>
      <c r="I659" s="4"/>
      <c r="N659" s="23"/>
      <c r="O659" s="24">
        <f>H659-J659</f>
        <v>0</v>
      </c>
    </row>
    <row r="660" spans="1:15" x14ac:dyDescent="0.25">
      <c r="C660" s="2" t="s">
        <v>479</v>
      </c>
      <c r="F660" s="2">
        <v>4800</v>
      </c>
      <c r="G660" s="3"/>
      <c r="H660" s="4"/>
      <c r="I660" s="4"/>
      <c r="N660" s="23"/>
      <c r="O660" s="24">
        <f>H660-J660</f>
        <v>0</v>
      </c>
    </row>
    <row r="661" spans="1:15" x14ac:dyDescent="0.25">
      <c r="C661" s="2" t="s">
        <v>480</v>
      </c>
      <c r="F661" s="2">
        <v>4500</v>
      </c>
      <c r="G661" s="3"/>
      <c r="H661" s="4"/>
      <c r="I661" s="4"/>
      <c r="N661" s="23"/>
      <c r="O661" s="24">
        <f>H661-J661</f>
        <v>0</v>
      </c>
    </row>
    <row r="662" spans="1:15" x14ac:dyDescent="0.25">
      <c r="A662" s="2">
        <v>25100</v>
      </c>
      <c r="B662" s="2">
        <v>53200</v>
      </c>
      <c r="C662" s="2" t="s">
        <v>20</v>
      </c>
      <c r="G662" s="3"/>
      <c r="H662" s="4"/>
      <c r="I662" s="4">
        <f>[1]Expense!N339</f>
        <v>0</v>
      </c>
      <c r="J662" s="4">
        <f>[1]Expense!I339</f>
        <v>0</v>
      </c>
      <c r="K662" s="4">
        <f>[2]Expense!K315</f>
        <v>0</v>
      </c>
      <c r="L662" s="4">
        <v>312</v>
      </c>
      <c r="M662" s="4">
        <v>0</v>
      </c>
      <c r="N662" s="23"/>
      <c r="O662" s="24">
        <f>H662-J662</f>
        <v>0</v>
      </c>
    </row>
    <row r="663" spans="1:15" x14ac:dyDescent="0.25">
      <c r="A663" s="2">
        <v>25100</v>
      </c>
      <c r="B663" s="2">
        <v>53410</v>
      </c>
      <c r="C663" s="2" t="s">
        <v>40</v>
      </c>
      <c r="H663" s="4">
        <f>SUM(F664:F667)</f>
        <v>5614</v>
      </c>
      <c r="I663" s="4">
        <f>[1]Expense!N340</f>
        <v>7780</v>
      </c>
      <c r="J663" s="4">
        <f>[1]Expense!I340</f>
        <v>7780</v>
      </c>
      <c r="K663" s="4">
        <f>[2]Expense!K316</f>
        <v>5312.27</v>
      </c>
      <c r="L663" s="4">
        <v>5811.24</v>
      </c>
      <c r="M663" s="4">
        <f>6497.24+62.73</f>
        <v>6559.9699999999993</v>
      </c>
      <c r="N663" s="23">
        <f>(H663-J663)/J663</f>
        <v>-0.27840616966580978</v>
      </c>
      <c r="O663" s="24">
        <f>H663-J663</f>
        <v>-2166</v>
      </c>
    </row>
    <row r="664" spans="1:15" x14ac:dyDescent="0.25">
      <c r="C664" s="2" t="s">
        <v>481</v>
      </c>
      <c r="D664" s="2">
        <v>4</v>
      </c>
      <c r="E664" s="2">
        <v>187.5</v>
      </c>
      <c r="F664" s="2">
        <v>750</v>
      </c>
      <c r="H664" s="4"/>
      <c r="I664" s="4"/>
      <c r="N664" s="23"/>
      <c r="O664" s="24">
        <f>H664-J664</f>
        <v>0</v>
      </c>
    </row>
    <row r="665" spans="1:15" x14ac:dyDescent="0.25">
      <c r="C665" s="2" t="s">
        <v>482</v>
      </c>
      <c r="D665" s="2">
        <v>12</v>
      </c>
      <c r="E665" s="2">
        <v>36</v>
      </c>
      <c r="F665" s="2">
        <v>432</v>
      </c>
      <c r="H665" s="4"/>
      <c r="I665" s="4"/>
      <c r="N665" s="23"/>
      <c r="O665" s="24">
        <f>H665-J665</f>
        <v>0</v>
      </c>
    </row>
    <row r="666" spans="1:15" x14ac:dyDescent="0.25">
      <c r="C666" s="2" t="s">
        <v>483</v>
      </c>
      <c r="D666" s="2">
        <v>5.4</v>
      </c>
      <c r="E666" s="2">
        <v>780</v>
      </c>
      <c r="F666" s="2">
        <f>D666*E666</f>
        <v>4212</v>
      </c>
      <c r="H666" s="4"/>
      <c r="I666" s="4"/>
      <c r="N666" s="23"/>
      <c r="O666" s="24">
        <f>H666-J666</f>
        <v>0</v>
      </c>
    </row>
    <row r="667" spans="1:15" x14ac:dyDescent="0.25">
      <c r="C667" s="2" t="s">
        <v>484</v>
      </c>
      <c r="D667" s="2">
        <v>2</v>
      </c>
      <c r="E667" s="2">
        <v>110</v>
      </c>
      <c r="F667" s="2">
        <v>220</v>
      </c>
      <c r="H667" s="4"/>
      <c r="I667" s="4"/>
      <c r="N667" s="23"/>
      <c r="O667" s="24">
        <f>H667-J667</f>
        <v>0</v>
      </c>
    </row>
    <row r="668" spans="1:15" x14ac:dyDescent="0.25">
      <c r="A668" s="2">
        <v>25100</v>
      </c>
      <c r="B668" s="2">
        <v>53412</v>
      </c>
      <c r="C668" s="2" t="s">
        <v>163</v>
      </c>
      <c r="G668" s="3"/>
      <c r="H668" s="3">
        <v>5000</v>
      </c>
      <c r="I668" s="4">
        <f>[1]Expense!N341</f>
        <v>4820</v>
      </c>
      <c r="J668" s="4">
        <f>[1]Expense!I341</f>
        <v>5000</v>
      </c>
      <c r="K668" s="4">
        <f>[2]Expense!K317</f>
        <v>4687.13</v>
      </c>
      <c r="L668" s="4">
        <v>0</v>
      </c>
      <c r="M668" s="4">
        <v>0</v>
      </c>
      <c r="N668" s="23">
        <f>(H668-J668)/J668</f>
        <v>0</v>
      </c>
      <c r="O668" s="24">
        <f>H668-J668</f>
        <v>0</v>
      </c>
    </row>
    <row r="669" spans="1:15" x14ac:dyDescent="0.25">
      <c r="A669" s="2">
        <v>25100</v>
      </c>
      <c r="B669" s="2">
        <v>53420</v>
      </c>
      <c r="C669" s="2" t="s">
        <v>485</v>
      </c>
      <c r="G669" s="3"/>
      <c r="H669" s="4">
        <v>56958</v>
      </c>
      <c r="I669" s="4">
        <f>[1]Expense!N342</f>
        <v>53988</v>
      </c>
      <c r="J669" s="4">
        <f>[1]Expense!I342</f>
        <v>44790</v>
      </c>
      <c r="K669" s="4">
        <f>[2]Expense!K318</f>
        <v>52287.12</v>
      </c>
      <c r="L669" s="4">
        <v>53029.47</v>
      </c>
      <c r="M669" s="4">
        <v>54223.69</v>
      </c>
      <c r="N669" s="23">
        <f>(H669-J669)/J669</f>
        <v>0.27166778298727395</v>
      </c>
      <c r="O669" s="24">
        <f>H669-J669</f>
        <v>12168</v>
      </c>
    </row>
    <row r="670" spans="1:15" x14ac:dyDescent="0.25">
      <c r="A670" s="2">
        <v>25100</v>
      </c>
      <c r="B670" s="2">
        <v>53425</v>
      </c>
      <c r="C670" s="2" t="s">
        <v>44</v>
      </c>
      <c r="H670" s="4">
        <v>122768</v>
      </c>
      <c r="I670" s="4">
        <f>[1]Expense!N343</f>
        <v>116623</v>
      </c>
      <c r="J670" s="4">
        <f>[1]Expense!I343</f>
        <v>115303</v>
      </c>
      <c r="K670" s="4">
        <f>[2]Expense!K319</f>
        <v>101029.43</v>
      </c>
      <c r="L670" s="4">
        <v>83938.46</v>
      </c>
      <c r="M670" s="4">
        <v>71312.02</v>
      </c>
      <c r="N670" s="23">
        <f>(H670-J670)/J670</f>
        <v>6.4742461167532503E-2</v>
      </c>
      <c r="O670" s="24">
        <f>H670-J670</f>
        <v>7465</v>
      </c>
    </row>
    <row r="671" spans="1:15" x14ac:dyDescent="0.25">
      <c r="C671" s="2" t="s">
        <v>486</v>
      </c>
      <c r="F671" s="2">
        <v>22149</v>
      </c>
      <c r="H671" s="4"/>
      <c r="I671" s="4"/>
      <c r="N671" s="23"/>
      <c r="O671" s="24">
        <f>H671-J671</f>
        <v>0</v>
      </c>
    </row>
    <row r="672" spans="1:15" x14ac:dyDescent="0.25">
      <c r="C672" s="2" t="s">
        <v>487</v>
      </c>
      <c r="F672" s="2">
        <v>8595</v>
      </c>
      <c r="H672" s="4"/>
      <c r="I672" s="4"/>
      <c r="N672" s="23"/>
      <c r="O672" s="24">
        <f>H672-J672</f>
        <v>0</v>
      </c>
    </row>
    <row r="673" spans="1:15" x14ac:dyDescent="0.25">
      <c r="C673" s="2" t="s">
        <v>488</v>
      </c>
      <c r="F673" s="2">
        <v>600</v>
      </c>
      <c r="H673" s="4"/>
      <c r="I673" s="4"/>
      <c r="N673" s="23"/>
      <c r="O673" s="24">
        <f>H673-J673</f>
        <v>0</v>
      </c>
    </row>
    <row r="674" spans="1:15" x14ac:dyDescent="0.25">
      <c r="C674" s="2" t="s">
        <v>489</v>
      </c>
      <c r="F674" s="2">
        <v>4875</v>
      </c>
      <c r="H674" s="4"/>
      <c r="I674" s="4"/>
      <c r="N674" s="23"/>
      <c r="O674" s="24">
        <f>H674-J674</f>
        <v>0</v>
      </c>
    </row>
    <row r="675" spans="1:15" x14ac:dyDescent="0.25">
      <c r="C675" s="2" t="s">
        <v>490</v>
      </c>
      <c r="F675" s="2">
        <v>1295</v>
      </c>
      <c r="H675" s="4"/>
      <c r="I675" s="4"/>
      <c r="N675" s="23"/>
      <c r="O675" s="24">
        <f>H675-J675</f>
        <v>0</v>
      </c>
    </row>
    <row r="676" spans="1:15" x14ac:dyDescent="0.25">
      <c r="C676" s="2" t="s">
        <v>491</v>
      </c>
      <c r="D676" s="2">
        <v>12</v>
      </c>
      <c r="E676" s="2">
        <v>3251</v>
      </c>
      <c r="F676" s="2">
        <v>39012</v>
      </c>
      <c r="H676" s="4"/>
      <c r="I676" s="4"/>
      <c r="N676" s="23"/>
      <c r="O676" s="24">
        <f>H676-J676</f>
        <v>0</v>
      </c>
    </row>
    <row r="677" spans="1:15" x14ac:dyDescent="0.25">
      <c r="C677" s="2" t="s">
        <v>492</v>
      </c>
      <c r="F677" s="2">
        <v>360</v>
      </c>
      <c r="H677" s="4"/>
      <c r="I677" s="4"/>
      <c r="N677" s="23"/>
      <c r="O677" s="24">
        <f>H677-J677</f>
        <v>0</v>
      </c>
    </row>
    <row r="678" spans="1:15" x14ac:dyDescent="0.25">
      <c r="C678" s="2" t="s">
        <v>493</v>
      </c>
      <c r="D678" s="2">
        <v>4</v>
      </c>
      <c r="E678" s="2">
        <v>1260</v>
      </c>
      <c r="F678" s="2">
        <v>5065</v>
      </c>
      <c r="H678" s="4"/>
      <c r="I678" s="4"/>
      <c r="N678" s="23"/>
      <c r="O678" s="24">
        <f>H678-J678</f>
        <v>0</v>
      </c>
    </row>
    <row r="679" spans="1:15" x14ac:dyDescent="0.25">
      <c r="C679" s="2" t="s">
        <v>494</v>
      </c>
      <c r="F679" s="2">
        <v>14124</v>
      </c>
      <c r="H679" s="4"/>
      <c r="I679" s="4"/>
      <c r="N679" s="23"/>
      <c r="O679" s="24">
        <f>H679-J679</f>
        <v>0</v>
      </c>
    </row>
    <row r="680" spans="1:15" x14ac:dyDescent="0.25">
      <c r="C680" s="2" t="s">
        <v>495</v>
      </c>
      <c r="F680" s="2">
        <v>1000</v>
      </c>
      <c r="H680" s="4"/>
      <c r="I680" s="4"/>
      <c r="N680" s="23"/>
      <c r="O680" s="24">
        <f>H680-J680</f>
        <v>0</v>
      </c>
    </row>
    <row r="681" spans="1:15" x14ac:dyDescent="0.25">
      <c r="C681" s="2" t="s">
        <v>496</v>
      </c>
      <c r="H681" s="4"/>
      <c r="I681" s="4"/>
      <c r="N681" s="23"/>
      <c r="O681" s="24">
        <f>H681-J681</f>
        <v>0</v>
      </c>
    </row>
    <row r="682" spans="1:15" x14ac:dyDescent="0.25">
      <c r="C682" s="2" t="s">
        <v>497</v>
      </c>
      <c r="F682" s="2">
        <v>150</v>
      </c>
      <c r="H682" s="4"/>
      <c r="I682" s="4"/>
      <c r="N682" s="23"/>
      <c r="O682" s="24">
        <f>H682-J682</f>
        <v>0</v>
      </c>
    </row>
    <row r="683" spans="1:15" x14ac:dyDescent="0.25">
      <c r="C683" s="2" t="s">
        <v>498</v>
      </c>
      <c r="F683" s="2">
        <v>1023</v>
      </c>
      <c r="H683" s="4"/>
      <c r="I683" s="4"/>
      <c r="N683" s="23"/>
      <c r="O683" s="24">
        <f>H683-J683</f>
        <v>0</v>
      </c>
    </row>
    <row r="684" spans="1:15" x14ac:dyDescent="0.25">
      <c r="C684" s="2" t="s">
        <v>499</v>
      </c>
      <c r="F684" s="2">
        <v>19200</v>
      </c>
      <c r="H684" s="4"/>
      <c r="I684" s="4"/>
      <c r="N684" s="23"/>
      <c r="O684" s="24">
        <f>H684-J684</f>
        <v>0</v>
      </c>
    </row>
    <row r="685" spans="1:15" x14ac:dyDescent="0.25">
      <c r="C685" s="2" t="s">
        <v>500</v>
      </c>
      <c r="D685" s="2">
        <v>12</v>
      </c>
      <c r="E685" s="2">
        <v>110</v>
      </c>
      <c r="F685" s="2">
        <v>1320</v>
      </c>
      <c r="H685" s="4"/>
      <c r="I685" s="4"/>
      <c r="N685" s="23"/>
      <c r="O685" s="24">
        <f>H685-J685</f>
        <v>0</v>
      </c>
    </row>
    <row r="686" spans="1:15" x14ac:dyDescent="0.25">
      <c r="C686" s="2" t="s">
        <v>501</v>
      </c>
      <c r="F686" s="2">
        <v>4000</v>
      </c>
      <c r="H686" s="4"/>
      <c r="I686" s="4"/>
      <c r="N686" s="23"/>
      <c r="O686" s="24">
        <f>H686-J686</f>
        <v>0</v>
      </c>
    </row>
    <row r="687" spans="1:15" x14ac:dyDescent="0.25">
      <c r="C687" s="2" t="s">
        <v>502</v>
      </c>
      <c r="H687" s="4"/>
      <c r="I687" s="4"/>
      <c r="N687" s="23"/>
      <c r="O687" s="24">
        <f>H687-J687</f>
        <v>0</v>
      </c>
    </row>
    <row r="688" spans="1:15" x14ac:dyDescent="0.25">
      <c r="A688" s="2">
        <v>25100</v>
      </c>
      <c r="B688" s="2">
        <v>53435</v>
      </c>
      <c r="C688" s="2" t="s">
        <v>107</v>
      </c>
      <c r="G688" s="3"/>
      <c r="H688" s="4">
        <v>32800</v>
      </c>
      <c r="I688" s="4">
        <f>[1]Expense!N344</f>
        <v>6000</v>
      </c>
      <c r="J688" s="4">
        <f>[1]Expense!I344</f>
        <v>6000</v>
      </c>
      <c r="K688" s="4">
        <f>[2]Expense!K320</f>
        <v>1702</v>
      </c>
      <c r="L688" s="4">
        <v>6657.38</v>
      </c>
      <c r="M688" s="4">
        <v>22260.7</v>
      </c>
      <c r="N688" s="23">
        <f>(H688-J688)/J688</f>
        <v>4.4666666666666668</v>
      </c>
      <c r="O688" s="24">
        <f>H688-J688</f>
        <v>26800</v>
      </c>
    </row>
    <row r="689" spans="1:15" x14ac:dyDescent="0.25">
      <c r="C689" s="2" t="s">
        <v>503</v>
      </c>
      <c r="D689" s="2">
        <v>1</v>
      </c>
      <c r="E689" s="2">
        <v>30000</v>
      </c>
      <c r="F689" s="2">
        <v>30000</v>
      </c>
      <c r="G689" s="3"/>
      <c r="H689" s="4"/>
      <c r="I689" s="4"/>
      <c r="N689" s="23"/>
      <c r="O689" s="24">
        <f>H689-J689</f>
        <v>0</v>
      </c>
    </row>
    <row r="690" spans="1:15" x14ac:dyDescent="0.25">
      <c r="C690" s="2" t="s">
        <v>504</v>
      </c>
      <c r="D690" s="2">
        <v>1</v>
      </c>
      <c r="E690" s="2">
        <v>800</v>
      </c>
      <c r="F690" s="2">
        <v>800</v>
      </c>
      <c r="G690" s="3"/>
      <c r="H690" s="4"/>
      <c r="I690" s="4"/>
      <c r="N690" s="23"/>
      <c r="O690" s="24">
        <f>H690-J690</f>
        <v>0</v>
      </c>
    </row>
    <row r="691" spans="1:15" x14ac:dyDescent="0.25">
      <c r="C691" s="2" t="s">
        <v>505</v>
      </c>
      <c r="D691" s="2">
        <v>2</v>
      </c>
      <c r="E691" s="2">
        <v>1000</v>
      </c>
      <c r="F691" s="2">
        <v>2000</v>
      </c>
      <c r="G691" s="3"/>
      <c r="H691" s="4"/>
      <c r="I691" s="4"/>
      <c r="N691" s="23"/>
      <c r="O691" s="24">
        <f>H691-J691</f>
        <v>0</v>
      </c>
    </row>
    <row r="692" spans="1:15" x14ac:dyDescent="0.25">
      <c r="A692" s="2">
        <v>25100</v>
      </c>
      <c r="B692" s="2">
        <v>53440</v>
      </c>
      <c r="C692" s="2" t="s">
        <v>506</v>
      </c>
      <c r="G692" s="3"/>
      <c r="H692" s="4">
        <v>12300</v>
      </c>
      <c r="I692" s="4">
        <f>[1]Expense!N345</f>
        <v>18615</v>
      </c>
      <c r="J692" s="4">
        <f>[1]Expense!I345</f>
        <v>14152</v>
      </c>
      <c r="K692" s="4">
        <f>[2]Expense!K321</f>
        <v>11163.58</v>
      </c>
      <c r="L692" s="4">
        <v>19026.189999999999</v>
      </c>
      <c r="M692" s="4">
        <f>16780.04+169.4</f>
        <v>16949.440000000002</v>
      </c>
      <c r="N692" s="23">
        <f>(H692-J692)/J692</f>
        <v>-0.13086489542114188</v>
      </c>
      <c r="O692" s="24">
        <f>H692-J692</f>
        <v>-1852</v>
      </c>
    </row>
    <row r="693" spans="1:15" x14ac:dyDescent="0.25">
      <c r="C693" s="2" t="s">
        <v>507</v>
      </c>
      <c r="D693" s="2">
        <v>1</v>
      </c>
      <c r="E693" s="2">
        <v>4076</v>
      </c>
      <c r="F693" s="2">
        <v>4076</v>
      </c>
      <c r="G693" s="3"/>
      <c r="H693" s="4"/>
      <c r="I693" s="4"/>
      <c r="N693" s="23"/>
      <c r="O693" s="24">
        <f>H693-J693</f>
        <v>0</v>
      </c>
    </row>
    <row r="694" spans="1:15" x14ac:dyDescent="0.25">
      <c r="C694" s="2" t="s">
        <v>508</v>
      </c>
      <c r="D694" s="2">
        <v>1</v>
      </c>
      <c r="E694" s="2">
        <v>1320</v>
      </c>
      <c r="F694" s="2">
        <v>1320</v>
      </c>
      <c r="G694" s="3"/>
      <c r="H694" s="4"/>
      <c r="I694" s="4"/>
      <c r="N694" s="23"/>
      <c r="O694" s="24">
        <f>H694-J694</f>
        <v>0</v>
      </c>
    </row>
    <row r="695" spans="1:15" x14ac:dyDescent="0.25">
      <c r="C695" s="2" t="s">
        <v>509</v>
      </c>
      <c r="D695" s="2">
        <v>1</v>
      </c>
      <c r="E695" s="2">
        <v>800</v>
      </c>
      <c r="F695" s="2">
        <v>800</v>
      </c>
      <c r="G695" s="3"/>
      <c r="H695" s="4"/>
      <c r="I695" s="4"/>
      <c r="N695" s="23"/>
      <c r="O695" s="24">
        <f>H695-J695</f>
        <v>0</v>
      </c>
    </row>
    <row r="696" spans="1:15" x14ac:dyDescent="0.25">
      <c r="C696" s="2" t="s">
        <v>510</v>
      </c>
      <c r="D696" s="2">
        <v>1</v>
      </c>
      <c r="E696" s="2">
        <v>1920</v>
      </c>
      <c r="F696" s="2">
        <v>1920</v>
      </c>
      <c r="G696" s="3"/>
      <c r="H696" s="4"/>
      <c r="I696" s="4"/>
      <c r="N696" s="23"/>
      <c r="O696" s="24">
        <f>H696-J696</f>
        <v>0</v>
      </c>
    </row>
    <row r="697" spans="1:15" x14ac:dyDescent="0.25">
      <c r="C697" s="2" t="s">
        <v>114</v>
      </c>
      <c r="D697" s="2">
        <v>1</v>
      </c>
      <c r="E697" s="2">
        <v>72</v>
      </c>
      <c r="F697" s="2">
        <v>72</v>
      </c>
      <c r="G697" s="3"/>
      <c r="H697" s="4"/>
      <c r="I697" s="4"/>
      <c r="N697" s="23"/>
      <c r="O697" s="24">
        <f>H697-J697</f>
        <v>0</v>
      </c>
    </row>
    <row r="698" spans="1:15" x14ac:dyDescent="0.25">
      <c r="C698" s="2" t="s">
        <v>511</v>
      </c>
      <c r="D698" s="2">
        <v>1</v>
      </c>
      <c r="E698" s="2">
        <v>1392</v>
      </c>
      <c r="F698" s="2">
        <v>1392</v>
      </c>
      <c r="G698" s="3"/>
      <c r="H698" s="4"/>
      <c r="I698" s="4"/>
      <c r="N698" s="23"/>
      <c r="O698" s="24">
        <f>H698-J698</f>
        <v>0</v>
      </c>
    </row>
    <row r="699" spans="1:15" x14ac:dyDescent="0.25">
      <c r="C699" s="2" t="s">
        <v>512</v>
      </c>
      <c r="D699" s="2">
        <v>1</v>
      </c>
      <c r="E699" s="2">
        <v>2720</v>
      </c>
      <c r="F699" s="2">
        <v>2720</v>
      </c>
      <c r="G699" s="3"/>
      <c r="H699" s="4"/>
      <c r="I699" s="4"/>
      <c r="N699" s="23"/>
      <c r="O699" s="24">
        <f>H699-J699</f>
        <v>0</v>
      </c>
    </row>
    <row r="700" spans="1:15" x14ac:dyDescent="0.25">
      <c r="A700" s="2">
        <v>25100</v>
      </c>
      <c r="B700" s="2">
        <v>53501</v>
      </c>
      <c r="C700" s="2" t="s">
        <v>513</v>
      </c>
      <c r="G700" s="3"/>
      <c r="H700" s="4">
        <v>6400</v>
      </c>
      <c r="I700" s="4">
        <f>[1]Expense!N346</f>
        <v>5000</v>
      </c>
      <c r="J700" s="4">
        <f>[1]Expense!I346</f>
        <v>5250</v>
      </c>
      <c r="K700" s="4">
        <f>[2]Expense!K322</f>
        <v>6237</v>
      </c>
      <c r="L700" s="4">
        <v>4227</v>
      </c>
      <c r="M700" s="4">
        <v>4619</v>
      </c>
      <c r="N700" s="23">
        <f>(H700-J700)/J700</f>
        <v>0.21904761904761905</v>
      </c>
      <c r="O700" s="24">
        <f>H700-J700</f>
        <v>1150</v>
      </c>
    </row>
    <row r="701" spans="1:15" x14ac:dyDescent="0.25">
      <c r="C701" s="2" t="s">
        <v>514</v>
      </c>
      <c r="D701" s="2">
        <v>7</v>
      </c>
      <c r="E701" s="2">
        <v>15</v>
      </c>
      <c r="F701" s="2">
        <f>D701*E701</f>
        <v>105</v>
      </c>
      <c r="G701" s="3"/>
      <c r="H701" s="4"/>
      <c r="I701" s="4"/>
      <c r="N701" s="23"/>
      <c r="O701" s="24">
        <f>H701-J701</f>
        <v>0</v>
      </c>
    </row>
    <row r="702" spans="1:15" x14ac:dyDescent="0.25">
      <c r="C702" s="2" t="s">
        <v>515</v>
      </c>
      <c r="D702" s="2">
        <v>40</v>
      </c>
      <c r="E702" s="2">
        <v>25</v>
      </c>
      <c r="F702" s="2">
        <f>D702*E702</f>
        <v>1000</v>
      </c>
      <c r="G702" s="3"/>
      <c r="H702" s="4"/>
      <c r="I702" s="4"/>
      <c r="N702" s="23"/>
      <c r="O702" s="24">
        <f>H702-J702</f>
        <v>0</v>
      </c>
    </row>
    <row r="703" spans="1:15" x14ac:dyDescent="0.25">
      <c r="C703" s="2" t="s">
        <v>516</v>
      </c>
      <c r="D703" s="2">
        <v>40</v>
      </c>
      <c r="E703" s="2">
        <v>133</v>
      </c>
      <c r="F703" s="2">
        <f>D703*E703</f>
        <v>5320</v>
      </c>
      <c r="G703" s="3"/>
      <c r="H703" s="4"/>
      <c r="I703" s="4"/>
      <c r="N703" s="23"/>
      <c r="O703" s="24">
        <f>H703-J703</f>
        <v>0</v>
      </c>
    </row>
    <row r="704" spans="1:15" x14ac:dyDescent="0.25">
      <c r="A704" s="2">
        <v>25100</v>
      </c>
      <c r="B704" s="2">
        <v>54352</v>
      </c>
      <c r="C704" s="2" t="s">
        <v>118</v>
      </c>
      <c r="G704" s="3"/>
      <c r="H704" s="4">
        <v>400</v>
      </c>
      <c r="I704" s="4">
        <f>[1]Expense!N347</f>
        <v>400</v>
      </c>
      <c r="J704" s="4">
        <f>[1]Expense!I347</f>
        <v>400</v>
      </c>
      <c r="K704" s="4">
        <f>[2]Expense!K323</f>
        <v>1266.26</v>
      </c>
      <c r="L704" s="4">
        <v>373.41</v>
      </c>
      <c r="M704" s="4">
        <v>321.18</v>
      </c>
      <c r="N704" s="23">
        <f>(H704-J704)/J704</f>
        <v>0</v>
      </c>
      <c r="O704" s="24">
        <f>H704-J704</f>
        <v>0</v>
      </c>
    </row>
    <row r="705" spans="1:15" x14ac:dyDescent="0.25">
      <c r="C705" s="2" t="s">
        <v>517</v>
      </c>
      <c r="G705" s="3"/>
      <c r="H705" s="4"/>
      <c r="I705" s="4"/>
      <c r="N705" s="23"/>
      <c r="O705" s="24">
        <f>H705-J705</f>
        <v>0</v>
      </c>
    </row>
    <row r="706" spans="1:15" x14ac:dyDescent="0.25">
      <c r="A706" s="2">
        <v>25100</v>
      </c>
      <c r="B706" s="2">
        <v>54353</v>
      </c>
      <c r="C706" s="2" t="s">
        <v>51</v>
      </c>
      <c r="H706" s="4">
        <v>8616</v>
      </c>
      <c r="I706" s="4">
        <f>[1]Expense!N348</f>
        <v>8050</v>
      </c>
      <c r="J706" s="4">
        <f>[1]Expense!I348</f>
        <v>4800</v>
      </c>
      <c r="K706" s="4">
        <f>[2]Expense!K324</f>
        <v>5835.26</v>
      </c>
      <c r="L706" s="4">
        <v>4146.2700000000004</v>
      </c>
      <c r="M706" s="4">
        <v>3977.92</v>
      </c>
      <c r="N706" s="23">
        <f>(H706-J706)/J706</f>
        <v>0.79500000000000004</v>
      </c>
      <c r="O706" s="24">
        <f>H706-J706</f>
        <v>3816</v>
      </c>
    </row>
    <row r="707" spans="1:15" x14ac:dyDescent="0.25">
      <c r="A707" s="2">
        <v>25100</v>
      </c>
      <c r="B707" s="2">
        <v>54800</v>
      </c>
      <c r="C707" s="2" t="s">
        <v>52</v>
      </c>
      <c r="G707" s="3"/>
      <c r="H707" s="3">
        <v>28865</v>
      </c>
      <c r="I707" s="4">
        <f>[1]Expense!N349</f>
        <v>24504</v>
      </c>
      <c r="J707" s="4">
        <f>[1]Expense!I349</f>
        <v>24504</v>
      </c>
      <c r="K707" s="4">
        <f>[2]Expense!K325</f>
        <v>22275.83</v>
      </c>
      <c r="L707" s="4">
        <v>20818.45</v>
      </c>
      <c r="M707" s="4">
        <v>19456.47</v>
      </c>
      <c r="N707" s="23">
        <f>(H707-J707)/J707</f>
        <v>0.17797094351942541</v>
      </c>
      <c r="O707" s="24">
        <f>H707-J707</f>
        <v>4361</v>
      </c>
    </row>
    <row r="708" spans="1:15" x14ac:dyDescent="0.25">
      <c r="A708" s="2">
        <v>25100</v>
      </c>
      <c r="B708" s="2">
        <v>55600</v>
      </c>
      <c r="C708" s="2" t="s">
        <v>77</v>
      </c>
      <c r="G708" s="3"/>
      <c r="H708" s="4">
        <v>7456</v>
      </c>
      <c r="I708" s="2">
        <f>[1]Expense!N350</f>
        <v>9000</v>
      </c>
      <c r="J708" s="4">
        <f>[1]Expense!I350</f>
        <v>7266</v>
      </c>
      <c r="K708" s="4">
        <f>[2]Expense!K326</f>
        <v>7209.37</v>
      </c>
      <c r="L708" s="4">
        <v>9372.5</v>
      </c>
      <c r="M708" s="4">
        <v>6047.5</v>
      </c>
      <c r="N708" s="23">
        <f>(H708-J708)/J708</f>
        <v>2.6149187998898982E-2</v>
      </c>
      <c r="O708" s="24">
        <f>H708-J708</f>
        <v>190</v>
      </c>
    </row>
    <row r="709" spans="1:15" x14ac:dyDescent="0.25">
      <c r="C709" s="2" t="s">
        <v>518</v>
      </c>
      <c r="F709" s="2">
        <v>140</v>
      </c>
      <c r="G709" s="3"/>
      <c r="H709" s="4"/>
      <c r="N709" s="23"/>
      <c r="O709" s="24">
        <f>H709-J709</f>
        <v>0</v>
      </c>
    </row>
    <row r="710" spans="1:15" x14ac:dyDescent="0.25">
      <c r="C710" s="2" t="s">
        <v>519</v>
      </c>
      <c r="F710" s="2">
        <v>219</v>
      </c>
      <c r="G710" s="3"/>
      <c r="H710" s="4"/>
      <c r="N710" s="23"/>
      <c r="O710" s="24">
        <f>H710-J710</f>
        <v>0</v>
      </c>
    </row>
    <row r="711" spans="1:15" x14ac:dyDescent="0.25">
      <c r="C711" s="2" t="s">
        <v>520</v>
      </c>
      <c r="F711" s="2">
        <v>135</v>
      </c>
      <c r="G711" s="3"/>
      <c r="H711" s="4"/>
      <c r="N711" s="23"/>
      <c r="O711" s="24">
        <f>H711-J711</f>
        <v>0</v>
      </c>
    </row>
    <row r="712" spans="1:15" x14ac:dyDescent="0.25">
      <c r="C712" s="2" t="s">
        <v>521</v>
      </c>
      <c r="F712" s="2">
        <v>25</v>
      </c>
      <c r="G712" s="3"/>
      <c r="H712" s="4"/>
      <c r="N712" s="23"/>
      <c r="O712" s="24">
        <f>H712-J712</f>
        <v>0</v>
      </c>
    </row>
    <row r="713" spans="1:15" x14ac:dyDescent="0.25">
      <c r="C713" s="2" t="s">
        <v>522</v>
      </c>
      <c r="F713" s="2">
        <v>52</v>
      </c>
      <c r="G713" s="3"/>
      <c r="H713" s="4"/>
      <c r="N713" s="23"/>
      <c r="O713" s="24">
        <f>H713-J713</f>
        <v>0</v>
      </c>
    </row>
    <row r="714" spans="1:15" x14ac:dyDescent="0.25">
      <c r="C714" s="2" t="s">
        <v>523</v>
      </c>
      <c r="F714" s="2">
        <v>225</v>
      </c>
      <c r="G714" s="3"/>
      <c r="H714" s="4"/>
      <c r="N714" s="23"/>
      <c r="O714" s="24">
        <f>H714-J714</f>
        <v>0</v>
      </c>
    </row>
    <row r="715" spans="1:15" x14ac:dyDescent="0.25">
      <c r="C715" s="2" t="s">
        <v>524</v>
      </c>
      <c r="F715" s="2">
        <v>180</v>
      </c>
      <c r="G715" s="3"/>
      <c r="H715" s="4"/>
      <c r="N715" s="23"/>
      <c r="O715" s="24">
        <f>H715-J715</f>
        <v>0</v>
      </c>
    </row>
    <row r="716" spans="1:15" x14ac:dyDescent="0.25">
      <c r="C716" s="2" t="s">
        <v>525</v>
      </c>
      <c r="F716" s="2">
        <v>6000</v>
      </c>
      <c r="G716" s="3"/>
      <c r="H716" s="4"/>
      <c r="N716" s="23"/>
      <c r="O716" s="24">
        <f>H716-J716</f>
        <v>0</v>
      </c>
    </row>
    <row r="717" spans="1:15" x14ac:dyDescent="0.25">
      <c r="C717" s="2" t="s">
        <v>526</v>
      </c>
      <c r="F717" s="2">
        <v>115</v>
      </c>
      <c r="G717" s="3"/>
      <c r="H717" s="4"/>
      <c r="N717" s="23"/>
      <c r="O717" s="24">
        <f>H717-J717</f>
        <v>0</v>
      </c>
    </row>
    <row r="718" spans="1:15" x14ac:dyDescent="0.25">
      <c r="C718" s="2" t="s">
        <v>527</v>
      </c>
      <c r="F718" s="2">
        <v>65</v>
      </c>
      <c r="G718" s="3"/>
      <c r="H718" s="4"/>
      <c r="N718" s="23"/>
      <c r="O718" s="24">
        <f>H718-J718</f>
        <v>0</v>
      </c>
    </row>
    <row r="719" spans="1:15" x14ac:dyDescent="0.25">
      <c r="C719" s="2" t="s">
        <v>528</v>
      </c>
      <c r="F719" s="2">
        <v>300</v>
      </c>
      <c r="G719" s="3"/>
      <c r="H719" s="4"/>
      <c r="N719" s="23"/>
      <c r="O719" s="24">
        <f>H719-J719</f>
        <v>0</v>
      </c>
    </row>
    <row r="720" spans="1:15" x14ac:dyDescent="0.25">
      <c r="A720" s="2">
        <v>25100</v>
      </c>
      <c r="B720" s="2">
        <v>56105</v>
      </c>
      <c r="C720" s="2" t="s">
        <v>54</v>
      </c>
      <c r="G720" s="3"/>
      <c r="H720" s="4">
        <v>2500</v>
      </c>
      <c r="I720" s="2">
        <f>[1]Expense!N351</f>
        <v>2500</v>
      </c>
      <c r="J720" s="4">
        <v>2500</v>
      </c>
      <c r="K720" s="4">
        <f>[2]Expense!K327</f>
        <v>1871.5</v>
      </c>
      <c r="L720" s="4">
        <f>2370.01+397</f>
        <v>2767.01</v>
      </c>
      <c r="M720" s="4">
        <v>2030.34</v>
      </c>
      <c r="N720" s="23">
        <f>(H720-J720)/J720</f>
        <v>0</v>
      </c>
      <c r="O720" s="24">
        <f>H720-J720</f>
        <v>0</v>
      </c>
    </row>
    <row r="721" spans="1:15" x14ac:dyDescent="0.25">
      <c r="A721" s="2">
        <v>25100</v>
      </c>
      <c r="B721" s="2">
        <v>56110</v>
      </c>
      <c r="C721" s="2" t="s">
        <v>55</v>
      </c>
      <c r="G721" s="3"/>
      <c r="H721" s="4">
        <v>10000</v>
      </c>
      <c r="I721" s="4">
        <f>[1]Expense!N352</f>
        <v>10671</v>
      </c>
      <c r="J721" s="4">
        <v>9000</v>
      </c>
      <c r="K721" s="4">
        <f>[2]Expense!K328</f>
        <v>8408.2900000000009</v>
      </c>
      <c r="L721" s="4">
        <v>4726.95</v>
      </c>
      <c r="M721" s="4">
        <v>5995.57</v>
      </c>
      <c r="N721" s="23">
        <f>(H721-J721)/J721</f>
        <v>0.1111111111111111</v>
      </c>
      <c r="O721" s="24">
        <f>H721-J721</f>
        <v>1000</v>
      </c>
    </row>
    <row r="722" spans="1:15" x14ac:dyDescent="0.25">
      <c r="C722" s="2" t="s">
        <v>529</v>
      </c>
      <c r="F722" s="2">
        <v>4515</v>
      </c>
      <c r="G722" s="3"/>
      <c r="H722" s="4"/>
      <c r="I722" s="4"/>
      <c r="N722" s="23"/>
      <c r="O722" s="24">
        <f>H722-J722</f>
        <v>0</v>
      </c>
    </row>
    <row r="723" spans="1:15" x14ac:dyDescent="0.25">
      <c r="C723" s="2" t="s">
        <v>530</v>
      </c>
      <c r="D723" s="2">
        <v>20</v>
      </c>
      <c r="E723" s="2">
        <v>65</v>
      </c>
      <c r="F723" s="2">
        <v>1300</v>
      </c>
      <c r="G723" s="3"/>
      <c r="H723" s="4"/>
      <c r="I723" s="4"/>
      <c r="N723" s="23"/>
      <c r="O723" s="24">
        <f>H723-J723</f>
        <v>0</v>
      </c>
    </row>
    <row r="724" spans="1:15" x14ac:dyDescent="0.25">
      <c r="C724" s="2" t="s">
        <v>531</v>
      </c>
      <c r="F724" s="2">
        <v>1000</v>
      </c>
      <c r="G724" s="3"/>
      <c r="H724" s="4"/>
      <c r="I724" s="4"/>
      <c r="N724" s="23"/>
      <c r="O724" s="24">
        <f>H724-J724</f>
        <v>0</v>
      </c>
    </row>
    <row r="725" spans="1:15" x14ac:dyDescent="0.25">
      <c r="C725" s="2" t="s">
        <v>532</v>
      </c>
      <c r="F725" s="2">
        <v>3185</v>
      </c>
      <c r="G725" s="3"/>
      <c r="H725" s="4"/>
      <c r="I725" s="4"/>
      <c r="N725" s="23"/>
      <c r="O725" s="24">
        <f>H725-J725</f>
        <v>0</v>
      </c>
    </row>
    <row r="726" spans="1:15" x14ac:dyDescent="0.25">
      <c r="A726" s="2">
        <v>25100</v>
      </c>
      <c r="B726" s="2">
        <v>56130</v>
      </c>
      <c r="C726" s="2" t="s">
        <v>22</v>
      </c>
      <c r="G726" s="3"/>
      <c r="H726" s="4">
        <v>1500</v>
      </c>
      <c r="I726" s="4">
        <f>[1]Expense!N353</f>
        <v>250</v>
      </c>
      <c r="J726" s="4">
        <v>1500</v>
      </c>
      <c r="K726" s="4">
        <f>[2]Expense!K329</f>
        <v>1883.28</v>
      </c>
      <c r="L726" s="4">
        <v>96.72</v>
      </c>
      <c r="M726" s="4">
        <v>613.30999999999995</v>
      </c>
      <c r="N726" s="23">
        <f>(H726-J726)/J726</f>
        <v>0</v>
      </c>
      <c r="O726" s="24">
        <f>H726-J726</f>
        <v>0</v>
      </c>
    </row>
    <row r="727" spans="1:15" x14ac:dyDescent="0.25">
      <c r="A727" s="2">
        <v>25100</v>
      </c>
      <c r="B727" s="2">
        <v>56200</v>
      </c>
      <c r="C727" s="2" t="s">
        <v>56</v>
      </c>
      <c r="G727" s="3"/>
      <c r="H727" s="4">
        <v>10500</v>
      </c>
      <c r="I727" s="4">
        <f>[1]Expense!N354</f>
        <v>10000</v>
      </c>
      <c r="J727" s="4">
        <v>10000</v>
      </c>
      <c r="K727" s="4">
        <f>[2]Expense!K330</f>
        <v>9355.4500000000007</v>
      </c>
      <c r="L727" s="4">
        <f>7002.5+3025.61</f>
        <v>10028.11</v>
      </c>
      <c r="M727" s="4">
        <f>6990.76+4801.18</f>
        <v>11791.94</v>
      </c>
      <c r="N727" s="23">
        <f>(H727-J727)/J727</f>
        <v>0.05</v>
      </c>
      <c r="O727" s="24">
        <f>H727-J727</f>
        <v>500</v>
      </c>
    </row>
    <row r="728" spans="1:15" x14ac:dyDescent="0.25">
      <c r="A728" s="2">
        <v>25100</v>
      </c>
      <c r="B728" s="2">
        <v>56250</v>
      </c>
      <c r="C728" s="2" t="s">
        <v>57</v>
      </c>
      <c r="G728" s="3"/>
      <c r="H728" s="4">
        <v>2500</v>
      </c>
      <c r="I728" s="4">
        <f>[1]Expense!N355</f>
        <v>2000</v>
      </c>
      <c r="J728" s="4">
        <v>2500</v>
      </c>
      <c r="K728" s="4">
        <f>[2]Expense!K331</f>
        <v>1880.64</v>
      </c>
      <c r="L728" s="4">
        <v>1983.01</v>
      </c>
      <c r="M728" s="4">
        <f>1956.69+84</f>
        <v>2040.69</v>
      </c>
      <c r="N728" s="23">
        <f>(H728-J728)/J728</f>
        <v>0</v>
      </c>
      <c r="O728" s="24">
        <f>H728-J728</f>
        <v>0</v>
      </c>
    </row>
    <row r="729" spans="1:15" x14ac:dyDescent="0.25">
      <c r="A729" s="2">
        <v>25100</v>
      </c>
      <c r="B729" s="2">
        <v>56680</v>
      </c>
      <c r="C729" s="2" t="s">
        <v>533</v>
      </c>
      <c r="G729" s="3"/>
      <c r="H729" s="4">
        <v>20000</v>
      </c>
      <c r="I729" s="4">
        <f>[1]Expense!N356</f>
        <v>14000</v>
      </c>
      <c r="J729" s="4">
        <v>15000</v>
      </c>
      <c r="K729" s="4">
        <f>[2]Expense!K332</f>
        <v>7220.31</v>
      </c>
      <c r="L729" s="4">
        <v>9272.81</v>
      </c>
      <c r="M729" s="4">
        <v>11366.97</v>
      </c>
      <c r="N729" s="23">
        <f>(H729-J729)/J729</f>
        <v>0.33333333333333331</v>
      </c>
      <c r="O729" s="24">
        <f>H729-J729</f>
        <v>5000</v>
      </c>
    </row>
    <row r="730" spans="1:15" s="5" customFormat="1" x14ac:dyDescent="0.25">
      <c r="A730" s="5" t="s">
        <v>23</v>
      </c>
      <c r="B730" s="5" t="s">
        <v>534</v>
      </c>
      <c r="G730" s="21">
        <f t="shared" ref="G730:M730" si="19">SUM(G637:G729)</f>
        <v>0</v>
      </c>
      <c r="H730" s="21">
        <f t="shared" si="19"/>
        <v>1914010</v>
      </c>
      <c r="I730" s="22">
        <f t="shared" si="19"/>
        <v>1761932</v>
      </c>
      <c r="J730" s="22">
        <f t="shared" si="19"/>
        <v>1667761</v>
      </c>
      <c r="K730" s="22">
        <f t="shared" si="19"/>
        <v>1573469.5300000003</v>
      </c>
      <c r="L730" s="22">
        <f t="shared" si="19"/>
        <v>1595113.1899999997</v>
      </c>
      <c r="M730" s="22">
        <f t="shared" si="19"/>
        <v>1699539.2999999996</v>
      </c>
      <c r="N730" s="25">
        <f>(H730-J730)/J730</f>
        <v>0.1476524514004105</v>
      </c>
      <c r="O730" s="26">
        <f>H730-J730</f>
        <v>246249</v>
      </c>
    </row>
    <row r="731" spans="1:15" x14ac:dyDescent="0.25">
      <c r="I731" s="4"/>
      <c r="K731" s="22"/>
      <c r="N731" s="23"/>
      <c r="O731" s="24">
        <f>H731-J731</f>
        <v>0</v>
      </c>
    </row>
    <row r="732" spans="1:15" s="5" customFormat="1" x14ac:dyDescent="0.25">
      <c r="A732" s="5">
        <v>25110</v>
      </c>
      <c r="B732" s="5" t="s">
        <v>535</v>
      </c>
      <c r="H732" s="21"/>
      <c r="I732" s="4"/>
      <c r="J732" s="4"/>
      <c r="K732" s="4"/>
      <c r="L732" s="22"/>
      <c r="M732" s="22"/>
      <c r="N732" s="23"/>
      <c r="O732" s="24">
        <f>H732-J732</f>
        <v>0</v>
      </c>
    </row>
    <row r="733" spans="1:15" x14ac:dyDescent="0.25">
      <c r="A733" s="2">
        <v>25110</v>
      </c>
      <c r="B733" s="2">
        <v>51100</v>
      </c>
      <c r="C733" s="2" t="s">
        <v>26</v>
      </c>
      <c r="G733" s="3"/>
      <c r="H733" s="4">
        <v>95800</v>
      </c>
      <c r="I733" s="4">
        <f>[1]Expense!N360</f>
        <v>85000</v>
      </c>
      <c r="J733" s="4">
        <f>[1]Expense!I360</f>
        <v>88100</v>
      </c>
      <c r="K733" s="4">
        <f>[2]Expense!K336</f>
        <v>57345.7</v>
      </c>
      <c r="L733" s="4">
        <f>56123.07+100</f>
        <v>56223.07</v>
      </c>
      <c r="M733" s="4">
        <f>74387.44+50</f>
        <v>74437.440000000002</v>
      </c>
      <c r="N733" s="23">
        <f>(H733-J733)/J733</f>
        <v>8.7400681044267875E-2</v>
      </c>
      <c r="O733" s="24">
        <f>H733-J733</f>
        <v>7700</v>
      </c>
    </row>
    <row r="734" spans="1:15" x14ac:dyDescent="0.25">
      <c r="A734" s="2">
        <v>25110</v>
      </c>
      <c r="B734" s="2">
        <v>51400</v>
      </c>
      <c r="C734" s="2" t="s">
        <v>29</v>
      </c>
      <c r="G734" s="3"/>
      <c r="H734" s="4">
        <v>3000</v>
      </c>
      <c r="I734" s="4">
        <f>[1]Expense!N361</f>
        <v>3500</v>
      </c>
      <c r="J734" s="4">
        <f>[1]Expense!I361</f>
        <v>3000</v>
      </c>
      <c r="K734" s="4">
        <f>[2]Expense!K337</f>
        <v>3323.35</v>
      </c>
      <c r="L734" s="4">
        <v>1598.2</v>
      </c>
      <c r="M734" s="4">
        <v>2862.09</v>
      </c>
      <c r="N734" s="23">
        <f>(H734-J734)/J734</f>
        <v>0</v>
      </c>
      <c r="O734" s="24">
        <f>H734-J734</f>
        <v>0</v>
      </c>
    </row>
    <row r="735" spans="1:15" x14ac:dyDescent="0.25">
      <c r="A735" s="2">
        <v>25110</v>
      </c>
      <c r="B735" s="2">
        <v>51500</v>
      </c>
      <c r="C735" s="2" t="s">
        <v>94</v>
      </c>
      <c r="G735" s="3"/>
      <c r="H735" s="4">
        <v>8350</v>
      </c>
      <c r="I735" s="4">
        <f>[1]Expense!N362</f>
        <v>2960</v>
      </c>
      <c r="J735" s="4">
        <f>[1]Expense!I362</f>
        <v>0</v>
      </c>
      <c r="K735" s="4">
        <f>[2]Expense!K338</f>
        <v>1020.22</v>
      </c>
      <c r="L735" s="4">
        <v>173.09</v>
      </c>
      <c r="M735" s="4">
        <v>0</v>
      </c>
      <c r="N735" s="23"/>
      <c r="O735" s="24">
        <f>H735-J735</f>
        <v>8350</v>
      </c>
    </row>
    <row r="736" spans="1:15" x14ac:dyDescent="0.25">
      <c r="A736" s="2">
        <v>25110</v>
      </c>
      <c r="B736" s="2">
        <v>51520</v>
      </c>
      <c r="C736" s="2" t="s">
        <v>32</v>
      </c>
      <c r="G736" s="3"/>
      <c r="H736" s="4"/>
      <c r="I736" s="4">
        <f>[1]Expense!N363</f>
        <v>0</v>
      </c>
      <c r="J736" s="4">
        <f>[1]Expense!I363</f>
        <v>0</v>
      </c>
      <c r="K736" s="4">
        <f>[2]Expense!K339</f>
        <v>0</v>
      </c>
      <c r="L736" s="4">
        <v>550</v>
      </c>
      <c r="M736" s="4">
        <v>1000</v>
      </c>
      <c r="N736" s="23"/>
      <c r="O736" s="24">
        <f>H736-J736</f>
        <v>0</v>
      </c>
    </row>
    <row r="737" spans="1:15" x14ac:dyDescent="0.25">
      <c r="A737" s="2">
        <v>25110</v>
      </c>
      <c r="B737" s="2">
        <v>52100</v>
      </c>
      <c r="C737" s="2" t="s">
        <v>33</v>
      </c>
      <c r="G737" s="3"/>
      <c r="H737" s="4">
        <v>27300</v>
      </c>
      <c r="I737" s="4">
        <f>[1]Expense!N364</f>
        <v>11000</v>
      </c>
      <c r="J737" s="4">
        <f>[1]Expense!I364</f>
        <v>20146</v>
      </c>
      <c r="K737" s="4">
        <f>[2]Expense!K340</f>
        <v>14595.85</v>
      </c>
      <c r="L737" s="4">
        <f>19347.39+69.69</f>
        <v>19417.079999999998</v>
      </c>
      <c r="M737" s="4">
        <f>27903.48+19.08</f>
        <v>27922.560000000001</v>
      </c>
      <c r="N737" s="23">
        <f>(H737-J737)/J737</f>
        <v>0.35510771369006255</v>
      </c>
      <c r="O737" s="24">
        <f>H737-J737</f>
        <v>7154</v>
      </c>
    </row>
    <row r="738" spans="1:15" x14ac:dyDescent="0.25">
      <c r="C738" s="2" t="s">
        <v>536</v>
      </c>
      <c r="F738" s="2">
        <v>26300</v>
      </c>
      <c r="G738" s="3"/>
      <c r="H738" s="4"/>
      <c r="I738" s="4"/>
      <c r="N738" s="23"/>
      <c r="O738" s="24">
        <f>H738-J738</f>
        <v>0</v>
      </c>
    </row>
    <row r="739" spans="1:15" x14ac:dyDescent="0.25">
      <c r="C739" s="2" t="s">
        <v>537</v>
      </c>
      <c r="D739" s="2">
        <v>2</v>
      </c>
      <c r="E739" s="2">
        <v>500</v>
      </c>
      <c r="F739" s="2">
        <v>1000</v>
      </c>
      <c r="G739" s="3"/>
      <c r="H739" s="4"/>
      <c r="I739" s="4"/>
      <c r="N739" s="23"/>
      <c r="O739" s="24">
        <f>H739-J739</f>
        <v>0</v>
      </c>
    </row>
    <row r="740" spans="1:15" x14ac:dyDescent="0.25">
      <c r="A740" s="2">
        <v>25110</v>
      </c>
      <c r="B740" s="2">
        <v>52140</v>
      </c>
      <c r="C740" s="2" t="s">
        <v>34</v>
      </c>
      <c r="G740" s="3"/>
      <c r="H740" s="3">
        <v>1169</v>
      </c>
      <c r="I740" s="4">
        <f>[1]Expense!N365</f>
        <v>0</v>
      </c>
      <c r="J740" s="4">
        <f>[1]Expense!I365</f>
        <v>948.6</v>
      </c>
      <c r="N740" s="23">
        <f>(H740-J740)/J740</f>
        <v>0.2323423993253215</v>
      </c>
      <c r="O740" s="24">
        <f>H740-J740</f>
        <v>220.39999999999998</v>
      </c>
    </row>
    <row r="741" spans="1:15" x14ac:dyDescent="0.25">
      <c r="A741" s="2">
        <v>25110</v>
      </c>
      <c r="B741" s="2">
        <v>52200</v>
      </c>
      <c r="C741" s="2" t="s">
        <v>35</v>
      </c>
      <c r="G741" s="3"/>
      <c r="H741" s="4">
        <v>7600</v>
      </c>
      <c r="I741" s="4">
        <f>[1]Expense!N366</f>
        <v>7000</v>
      </c>
      <c r="J741" s="4">
        <f>[1]Expense!I366</f>
        <v>7000</v>
      </c>
      <c r="K741" s="4">
        <f>[2]Expense!K341</f>
        <v>4506.24</v>
      </c>
      <c r="L741" s="4">
        <f>4351.39+30.16</f>
        <v>4381.55</v>
      </c>
      <c r="M741" s="4">
        <f>5809.3+416.85</f>
        <v>6226.1500000000005</v>
      </c>
      <c r="N741" s="23">
        <f>(H741-J741)/J741</f>
        <v>8.5714285714285715E-2</v>
      </c>
      <c r="O741" s="24">
        <f>H741-J741</f>
        <v>600</v>
      </c>
    </row>
    <row r="742" spans="1:15" x14ac:dyDescent="0.25">
      <c r="A742" s="2">
        <v>25110</v>
      </c>
      <c r="B742" s="2">
        <v>52230</v>
      </c>
      <c r="C742" s="2" t="s">
        <v>36</v>
      </c>
      <c r="G742" s="3"/>
      <c r="H742" s="4">
        <v>13400</v>
      </c>
      <c r="I742" s="4">
        <f>[1]Expense!N367</f>
        <v>12600</v>
      </c>
      <c r="J742" s="4">
        <f>[1]Expense!I367</f>
        <v>12600</v>
      </c>
      <c r="K742" s="4">
        <f>[2]Expense!K342</f>
        <v>8530.07</v>
      </c>
      <c r="L742" s="4">
        <f>7522.29+11.17</f>
        <v>7533.46</v>
      </c>
      <c r="M742" s="4">
        <f>8740.68+5.58</f>
        <v>8746.26</v>
      </c>
      <c r="N742" s="23">
        <f>(H742-J742)/J742</f>
        <v>6.3492063492063489E-2</v>
      </c>
      <c r="O742" s="24">
        <f>H742-J742</f>
        <v>800</v>
      </c>
    </row>
    <row r="743" spans="1:15" x14ac:dyDescent="0.25">
      <c r="A743" s="2">
        <v>25110</v>
      </c>
      <c r="B743" s="2">
        <v>52250</v>
      </c>
      <c r="C743" s="2" t="s">
        <v>37</v>
      </c>
      <c r="G743" s="3"/>
      <c r="H743" s="3">
        <v>98</v>
      </c>
      <c r="I743" s="4">
        <f>[1]Expense!N368</f>
        <v>54</v>
      </c>
      <c r="J743" s="4">
        <f>[1]Expense!I368</f>
        <v>54</v>
      </c>
      <c r="K743" s="4">
        <f>[2]Expense!K343</f>
        <v>59.62</v>
      </c>
      <c r="L743" s="4">
        <v>66.510000000000005</v>
      </c>
      <c r="M743" s="4">
        <v>66.510000000000005</v>
      </c>
      <c r="N743" s="23">
        <f>(H743-J743)/J743</f>
        <v>0.81481481481481477</v>
      </c>
      <c r="O743" s="24">
        <f>H743-J743</f>
        <v>44</v>
      </c>
    </row>
    <row r="744" spans="1:15" x14ac:dyDescent="0.25">
      <c r="A744" s="2">
        <v>25110</v>
      </c>
      <c r="B744" s="2">
        <v>52260</v>
      </c>
      <c r="C744" s="2" t="s">
        <v>38</v>
      </c>
      <c r="G744" s="3"/>
      <c r="H744" s="3">
        <v>1892</v>
      </c>
      <c r="I744" s="4">
        <f>[1]Expense!N369</f>
        <v>1948</v>
      </c>
      <c r="J744" s="4">
        <f>[1]Expense!I369</f>
        <v>1948</v>
      </c>
      <c r="K744" s="4">
        <f>[2]Expense!K344</f>
        <v>3254</v>
      </c>
      <c r="L744" s="4">
        <v>1799</v>
      </c>
      <c r="M744" s="4">
        <v>2096</v>
      </c>
      <c r="N744" s="23">
        <f>(H744-J744)/J744</f>
        <v>-2.8747433264887063E-2</v>
      </c>
      <c r="O744" s="24">
        <f>H744-J744</f>
        <v>-56</v>
      </c>
    </row>
    <row r="745" spans="1:15" x14ac:dyDescent="0.25">
      <c r="A745" s="2">
        <v>25110</v>
      </c>
      <c r="B745" s="2">
        <v>53360</v>
      </c>
      <c r="C745" s="2" t="s">
        <v>538</v>
      </c>
      <c r="G745" s="3"/>
      <c r="H745" s="3">
        <f>29000+1900+1975</f>
        <v>32875</v>
      </c>
      <c r="I745" s="4"/>
      <c r="N745" s="23"/>
      <c r="O745" s="24">
        <f>H745-J745</f>
        <v>32875</v>
      </c>
    </row>
    <row r="746" spans="1:15" x14ac:dyDescent="0.25">
      <c r="C746" s="2" t="s">
        <v>539</v>
      </c>
      <c r="D746" s="2">
        <v>1</v>
      </c>
      <c r="E746" s="2">
        <v>29000</v>
      </c>
      <c r="F746" s="2">
        <v>29000</v>
      </c>
      <c r="G746" s="3"/>
      <c r="I746" s="4"/>
      <c r="N746" s="23"/>
      <c r="O746" s="24">
        <f>H746-J746</f>
        <v>0</v>
      </c>
    </row>
    <row r="747" spans="1:15" x14ac:dyDescent="0.25">
      <c r="C747" s="2" t="s">
        <v>540</v>
      </c>
      <c r="D747" s="2">
        <v>1</v>
      </c>
      <c r="E747" s="2">
        <v>1975</v>
      </c>
      <c r="F747" s="2">
        <v>1975</v>
      </c>
      <c r="G747" s="3"/>
      <c r="I747" s="4"/>
      <c r="N747" s="23"/>
      <c r="O747" s="24">
        <f>H747-J747</f>
        <v>0</v>
      </c>
    </row>
    <row r="748" spans="1:15" x14ac:dyDescent="0.25">
      <c r="C748" s="2" t="s">
        <v>541</v>
      </c>
      <c r="D748" s="2">
        <v>1</v>
      </c>
      <c r="E748" s="2">
        <v>1900</v>
      </c>
      <c r="F748" s="2">
        <v>1900</v>
      </c>
      <c r="G748" s="3"/>
      <c r="I748" s="4"/>
      <c r="N748" s="23"/>
      <c r="O748" s="24">
        <f>H748-J748</f>
        <v>0</v>
      </c>
    </row>
    <row r="749" spans="1:15" x14ac:dyDescent="0.25">
      <c r="A749" s="2">
        <v>25110</v>
      </c>
      <c r="B749" s="2">
        <v>53412</v>
      </c>
      <c r="C749" s="2" t="s">
        <v>542</v>
      </c>
      <c r="D749" s="2">
        <v>1</v>
      </c>
      <c r="E749" s="2">
        <v>340</v>
      </c>
      <c r="F749" s="2">
        <f>D749*E749</f>
        <v>340</v>
      </c>
      <c r="G749" s="3"/>
      <c r="H749" s="3">
        <v>4100</v>
      </c>
      <c r="I749" s="4">
        <f>[1]Expense!N370</f>
        <v>7700</v>
      </c>
      <c r="J749" s="4">
        <f>[1]Expense!I370</f>
        <v>7700</v>
      </c>
      <c r="K749" s="4">
        <f>[2]Expense!K345</f>
        <v>7218.28</v>
      </c>
      <c r="L749" s="4">
        <v>10262.02</v>
      </c>
      <c r="M749" s="4">
        <v>8422.64</v>
      </c>
      <c r="N749" s="23">
        <f>(H749-J749)/J749</f>
        <v>-0.46753246753246752</v>
      </c>
      <c r="O749" s="24">
        <f>H749-J749</f>
        <v>-3600</v>
      </c>
    </row>
    <row r="750" spans="1:15" x14ac:dyDescent="0.25">
      <c r="A750" s="2">
        <v>25110</v>
      </c>
      <c r="B750" s="2">
        <v>53420</v>
      </c>
      <c r="C750" s="2" t="s">
        <v>167</v>
      </c>
      <c r="G750" s="3"/>
      <c r="H750" s="4"/>
      <c r="I750" s="4">
        <f>[1]Expense!N371</f>
        <v>66130</v>
      </c>
      <c r="J750" s="4">
        <f>[1]Expense!I371</f>
        <v>66130</v>
      </c>
      <c r="K750" s="4">
        <f>[2]Expense!K346</f>
        <v>64558.84</v>
      </c>
      <c r="L750" s="4">
        <f>48291.58+3948.88</f>
        <v>52240.46</v>
      </c>
      <c r="M750" s="4">
        <f>36749.14+79.05</f>
        <v>36828.19</v>
      </c>
      <c r="N750" s="23">
        <f>(H750-J750)/J750</f>
        <v>-1</v>
      </c>
      <c r="O750" s="24">
        <f>H750-J750</f>
        <v>-66130</v>
      </c>
    </row>
    <row r="751" spans="1:15" x14ac:dyDescent="0.25">
      <c r="A751" s="2">
        <v>25110</v>
      </c>
      <c r="B751" s="2">
        <v>54100</v>
      </c>
      <c r="C751" s="2" t="s">
        <v>169</v>
      </c>
      <c r="G751" s="3"/>
      <c r="H751" s="4">
        <v>225000</v>
      </c>
      <c r="I751" s="4">
        <f>[1]Expense!N372</f>
        <v>254000</v>
      </c>
      <c r="J751" s="4">
        <f>[1]Expense!I372</f>
        <v>175000</v>
      </c>
      <c r="K751" s="4">
        <f>[2]Expense!K347</f>
        <v>153707.04</v>
      </c>
      <c r="L751" s="4">
        <v>155986.44</v>
      </c>
      <c r="M751" s="4">
        <v>166374.92000000001</v>
      </c>
      <c r="N751" s="23">
        <f>(H751-J751)/J751</f>
        <v>0.2857142857142857</v>
      </c>
      <c r="O751" s="24">
        <f>H751-J751</f>
        <v>50000</v>
      </c>
    </row>
    <row r="752" spans="1:15" x14ac:dyDescent="0.25">
      <c r="A752" s="2">
        <v>25110</v>
      </c>
      <c r="B752" s="2">
        <v>54110</v>
      </c>
      <c r="C752" s="2" t="s">
        <v>170</v>
      </c>
      <c r="G752" s="3"/>
      <c r="H752" s="4">
        <v>96000</v>
      </c>
      <c r="I752" s="4">
        <f>[1]Expense!N373</f>
        <v>90000</v>
      </c>
      <c r="J752" s="4">
        <f>[1]Expense!I373</f>
        <v>109673</v>
      </c>
      <c r="K752" s="4">
        <f>[2]Expense!K348</f>
        <v>107564.91</v>
      </c>
      <c r="L752" s="4">
        <v>86611.09</v>
      </c>
      <c r="M752" s="4">
        <v>86132.02</v>
      </c>
      <c r="N752" s="23">
        <f>(H752-J752)/J752</f>
        <v>-0.1246706117275902</v>
      </c>
      <c r="O752" s="24">
        <f>H752-J752</f>
        <v>-13673</v>
      </c>
    </row>
    <row r="753" spans="1:15" x14ac:dyDescent="0.25">
      <c r="A753" s="2">
        <v>25110</v>
      </c>
      <c r="B753" s="2">
        <v>54120</v>
      </c>
      <c r="C753" s="2" t="s">
        <v>172</v>
      </c>
      <c r="G753" s="3"/>
      <c r="H753" s="4">
        <v>34500</v>
      </c>
      <c r="I753" s="4">
        <f>[1]Expense!N374</f>
        <v>34500</v>
      </c>
      <c r="J753" s="4">
        <f>[1]Expense!I374</f>
        <v>34500</v>
      </c>
      <c r="K753" s="4">
        <f>[2]Expense!K349</f>
        <v>27042.43</v>
      </c>
      <c r="L753" s="4">
        <v>30275.07</v>
      </c>
      <c r="M753" s="4">
        <v>31422.1</v>
      </c>
      <c r="N753" s="23">
        <f>(H753-J753)/J753</f>
        <v>0</v>
      </c>
      <c r="O753" s="24">
        <f>H753-J753</f>
        <v>0</v>
      </c>
    </row>
    <row r="754" spans="1:15" x14ac:dyDescent="0.25">
      <c r="C754" s="2" t="s">
        <v>543</v>
      </c>
      <c r="G754" s="3"/>
      <c r="I754" s="4"/>
      <c r="N754" s="23"/>
      <c r="O754" s="24">
        <f>H754-J754</f>
        <v>0</v>
      </c>
    </row>
    <row r="755" spans="1:15" x14ac:dyDescent="0.25">
      <c r="A755" s="2">
        <v>25110</v>
      </c>
      <c r="B755" s="2">
        <v>54315</v>
      </c>
      <c r="C755" s="2" t="s">
        <v>544</v>
      </c>
      <c r="G755" s="3"/>
      <c r="H755" s="3">
        <f>55000+26340</f>
        <v>81340</v>
      </c>
      <c r="I755" s="4">
        <f>[1]Expense!N375</f>
        <v>64000</v>
      </c>
      <c r="J755" s="4">
        <f>[1]Expense!I375</f>
        <v>50000</v>
      </c>
      <c r="K755" s="4">
        <f>[2]Expense!K350</f>
        <v>60847.81</v>
      </c>
      <c r="L755" s="4">
        <v>46916.36</v>
      </c>
      <c r="M755" s="4">
        <f>54440.85+521.21</f>
        <v>54962.06</v>
      </c>
      <c r="N755" s="23">
        <f>(H755-J755)/J755</f>
        <v>0.62680000000000002</v>
      </c>
      <c r="O755" s="24">
        <f>H755-J755</f>
        <v>31340</v>
      </c>
    </row>
    <row r="756" spans="1:15" x14ac:dyDescent="0.25">
      <c r="C756" s="2" t="s">
        <v>545</v>
      </c>
      <c r="F756" s="2">
        <v>55000</v>
      </c>
      <c r="G756" s="3"/>
      <c r="I756" s="4"/>
      <c r="N756" s="23"/>
      <c r="O756" s="24">
        <f>H756-J756</f>
        <v>0</v>
      </c>
    </row>
    <row r="757" spans="1:15" x14ac:dyDescent="0.25">
      <c r="C757" s="2" t="s">
        <v>546</v>
      </c>
      <c r="F757" s="2">
        <v>600</v>
      </c>
      <c r="G757" s="3"/>
      <c r="I757" s="4"/>
      <c r="N757" s="23"/>
      <c r="O757" s="24">
        <f>H757-J757</f>
        <v>0</v>
      </c>
    </row>
    <row r="758" spans="1:15" x14ac:dyDescent="0.25">
      <c r="C758" s="2" t="s">
        <v>547</v>
      </c>
      <c r="F758" s="2">
        <v>300</v>
      </c>
      <c r="G758" s="3"/>
      <c r="I758" s="4"/>
      <c r="N758" s="23"/>
      <c r="O758" s="24">
        <f>H758-J758</f>
        <v>0</v>
      </c>
    </row>
    <row r="759" spans="1:15" x14ac:dyDescent="0.25">
      <c r="C759" s="2" t="s">
        <v>548</v>
      </c>
      <c r="F759" s="2">
        <v>1000</v>
      </c>
      <c r="G759" s="3"/>
      <c r="I759" s="4"/>
      <c r="N759" s="23"/>
      <c r="O759" s="24">
        <f>H759-J759</f>
        <v>0</v>
      </c>
    </row>
    <row r="760" spans="1:15" x14ac:dyDescent="0.25">
      <c r="C760" s="2" t="s">
        <v>549</v>
      </c>
      <c r="F760" s="2">
        <v>600</v>
      </c>
      <c r="G760" s="3"/>
      <c r="I760" s="4"/>
      <c r="N760" s="23"/>
      <c r="O760" s="24">
        <f>H760-J760</f>
        <v>0</v>
      </c>
    </row>
    <row r="761" spans="1:15" x14ac:dyDescent="0.25">
      <c r="C761" s="2" t="s">
        <v>550</v>
      </c>
      <c r="F761" s="2">
        <v>2000</v>
      </c>
      <c r="G761" s="3"/>
      <c r="I761" s="4"/>
      <c r="N761" s="23"/>
      <c r="O761" s="24">
        <f>H761-J761</f>
        <v>0</v>
      </c>
    </row>
    <row r="762" spans="1:15" x14ac:dyDescent="0.25">
      <c r="C762" s="2" t="s">
        <v>551</v>
      </c>
      <c r="F762" s="2">
        <v>2500</v>
      </c>
      <c r="G762" s="3"/>
      <c r="I762" s="4"/>
      <c r="N762" s="23"/>
      <c r="O762" s="24">
        <f>H762-J762</f>
        <v>0</v>
      </c>
    </row>
    <row r="763" spans="1:15" x14ac:dyDescent="0.25">
      <c r="C763" s="2" t="s">
        <v>552</v>
      </c>
      <c r="F763" s="2">
        <v>2300</v>
      </c>
      <c r="G763" s="3"/>
      <c r="I763" s="4"/>
      <c r="N763" s="23"/>
      <c r="O763" s="24">
        <f>H763-J763</f>
        <v>0</v>
      </c>
    </row>
    <row r="764" spans="1:15" x14ac:dyDescent="0.25">
      <c r="C764" s="2" t="s">
        <v>553</v>
      </c>
      <c r="F764" s="2">
        <v>400</v>
      </c>
      <c r="G764" s="3"/>
      <c r="I764" s="4"/>
      <c r="N764" s="23"/>
      <c r="O764" s="24">
        <f>H764-J764</f>
        <v>0</v>
      </c>
    </row>
    <row r="765" spans="1:15" x14ac:dyDescent="0.25">
      <c r="C765" s="2" t="s">
        <v>554</v>
      </c>
      <c r="F765" s="2">
        <v>100</v>
      </c>
      <c r="G765" s="3"/>
      <c r="I765" s="4"/>
      <c r="N765" s="23"/>
      <c r="O765" s="24">
        <f>H765-J765</f>
        <v>0</v>
      </c>
    </row>
    <row r="766" spans="1:15" x14ac:dyDescent="0.25">
      <c r="C766" s="2" t="s">
        <v>555</v>
      </c>
      <c r="F766" s="2">
        <v>1740</v>
      </c>
      <c r="G766" s="3"/>
      <c r="I766" s="4"/>
      <c r="N766" s="23"/>
      <c r="O766" s="24">
        <f>H766-J766</f>
        <v>0</v>
      </c>
    </row>
    <row r="767" spans="1:15" x14ac:dyDescent="0.25">
      <c r="C767" s="2" t="s">
        <v>556</v>
      </c>
      <c r="F767" s="2">
        <v>3500</v>
      </c>
      <c r="G767" s="3"/>
      <c r="I767" s="4"/>
      <c r="N767" s="23"/>
      <c r="O767" s="24">
        <f>H767-J767</f>
        <v>0</v>
      </c>
    </row>
    <row r="768" spans="1:15" x14ac:dyDescent="0.25">
      <c r="C768" s="2" t="s">
        <v>557</v>
      </c>
      <c r="F768" s="2">
        <v>1500</v>
      </c>
      <c r="G768" s="3"/>
      <c r="I768" s="4"/>
      <c r="N768" s="23"/>
      <c r="O768" s="24">
        <f>H768-J768</f>
        <v>0</v>
      </c>
    </row>
    <row r="769" spans="1:15" x14ac:dyDescent="0.25">
      <c r="C769" s="2" t="s">
        <v>558</v>
      </c>
      <c r="F769" s="2">
        <v>1800</v>
      </c>
      <c r="G769" s="3"/>
      <c r="I769" s="4"/>
      <c r="N769" s="23"/>
      <c r="O769" s="24">
        <f>H769-J769</f>
        <v>0</v>
      </c>
    </row>
    <row r="770" spans="1:15" x14ac:dyDescent="0.25">
      <c r="C770" s="2" t="s">
        <v>559</v>
      </c>
      <c r="F770" s="2">
        <v>2000</v>
      </c>
      <c r="G770" s="3"/>
      <c r="I770" s="4"/>
      <c r="N770" s="23"/>
      <c r="O770" s="24">
        <f>H770-J770</f>
        <v>0</v>
      </c>
    </row>
    <row r="771" spans="1:15" x14ac:dyDescent="0.25">
      <c r="C771" s="2" t="s">
        <v>560</v>
      </c>
      <c r="F771" s="2">
        <v>1800</v>
      </c>
      <c r="G771" s="3"/>
      <c r="I771" s="4"/>
      <c r="N771" s="23"/>
      <c r="O771" s="24">
        <f>H771-J771</f>
        <v>0</v>
      </c>
    </row>
    <row r="772" spans="1:15" x14ac:dyDescent="0.25">
      <c r="C772" s="2" t="s">
        <v>561</v>
      </c>
      <c r="F772" s="2">
        <v>2400</v>
      </c>
      <c r="G772" s="3"/>
      <c r="I772" s="4"/>
      <c r="N772" s="23"/>
      <c r="O772" s="24">
        <f>H772-J772</f>
        <v>0</v>
      </c>
    </row>
    <row r="773" spans="1:15" x14ac:dyDescent="0.25">
      <c r="C773" s="2" t="s">
        <v>562</v>
      </c>
      <c r="F773" s="2">
        <v>800</v>
      </c>
      <c r="G773" s="3"/>
      <c r="I773" s="4"/>
      <c r="N773" s="23"/>
      <c r="O773" s="24">
        <f>H773-J773</f>
        <v>0</v>
      </c>
    </row>
    <row r="774" spans="1:15" x14ac:dyDescent="0.25">
      <c r="C774" s="2" t="s">
        <v>563</v>
      </c>
      <c r="F774" s="2">
        <v>1000</v>
      </c>
      <c r="G774" s="3"/>
      <c r="I774" s="4"/>
      <c r="N774" s="23"/>
      <c r="O774" s="24">
        <f>H774-J774</f>
        <v>0</v>
      </c>
    </row>
    <row r="775" spans="1:15" x14ac:dyDescent="0.25">
      <c r="A775" s="2">
        <v>25110</v>
      </c>
      <c r="B775" s="2">
        <v>54430</v>
      </c>
      <c r="C775" s="2" t="s">
        <v>564</v>
      </c>
      <c r="G775" s="3"/>
      <c r="H775" s="3">
        <v>1800</v>
      </c>
      <c r="I775" s="4"/>
      <c r="N775" s="23"/>
      <c r="O775" s="24">
        <f>H775-J775</f>
        <v>1800</v>
      </c>
    </row>
    <row r="776" spans="1:15" x14ac:dyDescent="0.25">
      <c r="A776" s="2">
        <v>25110</v>
      </c>
      <c r="B776" s="2">
        <v>54500</v>
      </c>
      <c r="C776" s="2" t="s">
        <v>192</v>
      </c>
      <c r="G776" s="3"/>
      <c r="H776" s="3">
        <v>1000</v>
      </c>
      <c r="I776" s="4">
        <f>[1]Expense!N376</f>
        <v>1000</v>
      </c>
      <c r="J776" s="4">
        <v>1000</v>
      </c>
      <c r="K776" s="4">
        <f>[2]Expense!K351</f>
        <v>546.95000000000005</v>
      </c>
      <c r="L776" s="4">
        <f>551.84+665.92</f>
        <v>1217.76</v>
      </c>
      <c r="M776" s="4">
        <v>410.99</v>
      </c>
      <c r="N776" s="23">
        <f>(H776-J776)/J776</f>
        <v>0</v>
      </c>
      <c r="O776" s="24">
        <f>H776-J776</f>
        <v>0</v>
      </c>
    </row>
    <row r="777" spans="1:15" x14ac:dyDescent="0.25">
      <c r="A777" s="2">
        <v>25110</v>
      </c>
      <c r="B777" s="2">
        <v>54800</v>
      </c>
      <c r="C777" s="2" t="s">
        <v>52</v>
      </c>
      <c r="G777" s="3"/>
      <c r="H777" s="3">
        <v>28065</v>
      </c>
      <c r="I777" s="2">
        <f>[1]Expense!N377</f>
        <v>23824</v>
      </c>
      <c r="J777" s="4">
        <v>23824</v>
      </c>
      <c r="K777" s="4">
        <f>[2]Expense!K352</f>
        <v>21658.22</v>
      </c>
      <c r="L777" s="4">
        <v>20241.240000000002</v>
      </c>
      <c r="M777" s="4">
        <v>18917.02</v>
      </c>
      <c r="N777" s="23">
        <f>(H777-J777)/J777</f>
        <v>0.17801376762928139</v>
      </c>
      <c r="O777" s="24">
        <f>H777-J777</f>
        <v>4241</v>
      </c>
    </row>
    <row r="778" spans="1:15" x14ac:dyDescent="0.25">
      <c r="A778" s="2">
        <v>25110</v>
      </c>
      <c r="B778" s="2">
        <v>56115</v>
      </c>
      <c r="C778" s="2" t="s">
        <v>565</v>
      </c>
      <c r="G778" s="3"/>
      <c r="H778" s="4">
        <v>400</v>
      </c>
      <c r="I778" s="2">
        <f>[1]Expense!N378</f>
        <v>200</v>
      </c>
      <c r="J778" s="4">
        <v>400</v>
      </c>
      <c r="K778" s="4">
        <f>[2]Expense!K353</f>
        <v>114.98</v>
      </c>
      <c r="L778" s="4">
        <v>299.79000000000002</v>
      </c>
      <c r="M778" s="4">
        <v>179.8</v>
      </c>
      <c r="N778" s="23">
        <f>(H778-J778)/J778</f>
        <v>0</v>
      </c>
      <c r="O778" s="24">
        <f>H778-J778</f>
        <v>0</v>
      </c>
    </row>
    <row r="779" spans="1:15" x14ac:dyDescent="0.25">
      <c r="A779" s="2">
        <v>25110</v>
      </c>
      <c r="B779" s="2">
        <v>56350</v>
      </c>
      <c r="C779" s="2" t="s">
        <v>200</v>
      </c>
      <c r="G779" s="3"/>
      <c r="H779" s="4">
        <v>2000</v>
      </c>
      <c r="I779" s="4">
        <f>[1]Expense!N379</f>
        <v>1800</v>
      </c>
      <c r="J779" s="4">
        <v>1500</v>
      </c>
      <c r="K779" s="4">
        <f>[2]Expense!K354</f>
        <v>6079.41</v>
      </c>
      <c r="L779" s="4">
        <v>499.84</v>
      </c>
      <c r="M779" s="4">
        <v>1005.94</v>
      </c>
      <c r="N779" s="23">
        <f>(H779-J779)/J779</f>
        <v>0.33333333333333331</v>
      </c>
      <c r="O779" s="24">
        <f>H779-J779</f>
        <v>500</v>
      </c>
    </row>
    <row r="780" spans="1:15" x14ac:dyDescent="0.25">
      <c r="A780" s="2">
        <v>25110</v>
      </c>
      <c r="B780" s="2">
        <v>56600</v>
      </c>
      <c r="C780" s="2" t="s">
        <v>203</v>
      </c>
      <c r="G780" s="3"/>
      <c r="H780" s="3">
        <v>3000</v>
      </c>
      <c r="I780" s="4">
        <f>[1]Expense!N380</f>
        <v>9200</v>
      </c>
      <c r="J780" s="4">
        <v>2000</v>
      </c>
      <c r="K780" s="4">
        <f>[2]Expense!K355</f>
        <v>3196.34</v>
      </c>
      <c r="L780" s="4">
        <v>4377.5600000000004</v>
      </c>
      <c r="M780" s="4">
        <v>1017.68</v>
      </c>
      <c r="N780" s="23">
        <f>(H780-J780)/J780</f>
        <v>0.5</v>
      </c>
      <c r="O780" s="24">
        <f>H780-J780</f>
        <v>1000</v>
      </c>
    </row>
    <row r="781" spans="1:15" x14ac:dyDescent="0.25">
      <c r="A781" s="2">
        <v>25110</v>
      </c>
      <c r="B781" s="2">
        <v>56680</v>
      </c>
      <c r="C781" s="2" t="s">
        <v>59</v>
      </c>
      <c r="G781" s="3"/>
      <c r="H781" s="4">
        <v>3000</v>
      </c>
      <c r="I781" s="4"/>
      <c r="K781" s="4">
        <f>[2]Expense!K356</f>
        <v>0</v>
      </c>
      <c r="L781" s="4">
        <f>4436.14+123.46</f>
        <v>4559.6000000000004</v>
      </c>
      <c r="M781" s="4">
        <f>1803.84+986</f>
        <v>2789.84</v>
      </c>
      <c r="N781" s="23"/>
      <c r="O781" s="24">
        <f>H781-J781</f>
        <v>3000</v>
      </c>
    </row>
    <row r="782" spans="1:15" x14ac:dyDescent="0.25">
      <c r="C782" s="2" t="s">
        <v>566</v>
      </c>
      <c r="F782" s="2">
        <v>7500</v>
      </c>
      <c r="G782" s="3"/>
      <c r="I782" s="4"/>
      <c r="N782" s="23"/>
      <c r="O782" s="24">
        <f>H782-J782</f>
        <v>0</v>
      </c>
    </row>
    <row r="783" spans="1:15" x14ac:dyDescent="0.25">
      <c r="C783" s="2" t="s">
        <v>567</v>
      </c>
      <c r="F783" s="2">
        <v>3000</v>
      </c>
      <c r="G783" s="3"/>
      <c r="I783" s="4"/>
      <c r="N783" s="23"/>
      <c r="O783" s="24">
        <f>H783-J783</f>
        <v>0</v>
      </c>
    </row>
    <row r="784" spans="1:15" x14ac:dyDescent="0.25">
      <c r="A784" s="2">
        <v>25110</v>
      </c>
      <c r="B784" s="2">
        <v>57000</v>
      </c>
      <c r="C784" s="2" t="s">
        <v>568</v>
      </c>
      <c r="G784" s="3"/>
      <c r="H784" s="4">
        <v>258000</v>
      </c>
      <c r="N784" s="23"/>
      <c r="O784" s="24">
        <f>H784-J784</f>
        <v>258000</v>
      </c>
    </row>
    <row r="785" spans="1:15" x14ac:dyDescent="0.25">
      <c r="C785" s="2" t="s">
        <v>569</v>
      </c>
      <c r="F785" s="2">
        <v>150000</v>
      </c>
      <c r="G785" s="3"/>
      <c r="N785" s="23"/>
      <c r="O785" s="24">
        <f>H785-J785</f>
        <v>0</v>
      </c>
    </row>
    <row r="786" spans="1:15" x14ac:dyDescent="0.25">
      <c r="C786" s="2" t="s">
        <v>570</v>
      </c>
      <c r="F786" s="2">
        <v>108000</v>
      </c>
      <c r="G786" s="3"/>
      <c r="N786" s="23"/>
      <c r="O786" s="24">
        <f>H786-J786</f>
        <v>0</v>
      </c>
    </row>
    <row r="787" spans="1:15" x14ac:dyDescent="0.25">
      <c r="A787" s="2">
        <v>25110</v>
      </c>
      <c r="B787" s="2">
        <v>57200</v>
      </c>
      <c r="C787" s="2" t="s">
        <v>571</v>
      </c>
      <c r="G787" s="3"/>
      <c r="I787" s="4">
        <f>[1]Expense!$N$381</f>
        <v>0</v>
      </c>
      <c r="J787" s="4">
        <f>[1]Expense!I381</f>
        <v>4900</v>
      </c>
      <c r="K787" s="4">
        <f>[2]Expense!K356</f>
        <v>0</v>
      </c>
      <c r="L787" s="4">
        <v>36431.24</v>
      </c>
      <c r="M787" s="4">
        <v>65891.25</v>
      </c>
      <c r="N787" s="23">
        <f>(H787-J787)/J787</f>
        <v>-1</v>
      </c>
      <c r="O787" s="24">
        <f>H787-J787</f>
        <v>-4900</v>
      </c>
    </row>
    <row r="788" spans="1:15" x14ac:dyDescent="0.25">
      <c r="C788" s="2" t="s">
        <v>572</v>
      </c>
      <c r="D788" s="2">
        <v>2</v>
      </c>
      <c r="E788" s="2">
        <v>25000</v>
      </c>
      <c r="F788" s="2">
        <v>50000</v>
      </c>
      <c r="H788" s="2">
        <v>50000</v>
      </c>
      <c r="I788" s="4"/>
      <c r="N788" s="23"/>
      <c r="O788" s="24">
        <f>H788-J788</f>
        <v>50000</v>
      </c>
    </row>
    <row r="789" spans="1:15" x14ac:dyDescent="0.25">
      <c r="C789" s="2" t="s">
        <v>573</v>
      </c>
      <c r="D789" s="2">
        <v>5</v>
      </c>
      <c r="E789" s="2">
        <v>2200</v>
      </c>
      <c r="F789" s="2">
        <v>11000</v>
      </c>
      <c r="H789" s="2">
        <v>11000</v>
      </c>
      <c r="I789" s="4"/>
      <c r="N789" s="23"/>
      <c r="O789" s="24">
        <f>H789-J789</f>
        <v>11000</v>
      </c>
    </row>
    <row r="790" spans="1:15" x14ac:dyDescent="0.25">
      <c r="C790" s="2" t="s">
        <v>574</v>
      </c>
      <c r="H790" s="2"/>
      <c r="I790" s="4"/>
      <c r="N790" s="23"/>
      <c r="O790" s="24">
        <f>H790-J790</f>
        <v>0</v>
      </c>
    </row>
    <row r="791" spans="1:15" x14ac:dyDescent="0.25">
      <c r="C791" s="2" t="s">
        <v>575</v>
      </c>
      <c r="D791" s="2">
        <v>3</v>
      </c>
      <c r="E791" s="2">
        <v>8000</v>
      </c>
      <c r="F791" s="2">
        <v>24000</v>
      </c>
      <c r="H791" s="2">
        <v>24000</v>
      </c>
      <c r="I791" s="4"/>
      <c r="N791" s="23"/>
      <c r="O791" s="24">
        <f>H791-J791</f>
        <v>24000</v>
      </c>
    </row>
    <row r="792" spans="1:15" x14ac:dyDescent="0.25">
      <c r="C792" s="2" t="s">
        <v>576</v>
      </c>
      <c r="D792" s="2">
        <v>2</v>
      </c>
      <c r="E792" s="2">
        <v>10000</v>
      </c>
      <c r="F792" s="2">
        <v>20000</v>
      </c>
      <c r="H792" s="2">
        <v>20000</v>
      </c>
      <c r="I792" s="4"/>
      <c r="N792" s="23"/>
      <c r="O792" s="24">
        <f>H792-J792</f>
        <v>20000</v>
      </c>
    </row>
    <row r="793" spans="1:15" x14ac:dyDescent="0.25">
      <c r="C793" s="2" t="s">
        <v>577</v>
      </c>
      <c r="D793" s="2" t="s">
        <v>578</v>
      </c>
      <c r="F793" s="2">
        <v>20000</v>
      </c>
      <c r="H793" s="2">
        <v>20000</v>
      </c>
      <c r="I793" s="4"/>
      <c r="N793" s="23"/>
      <c r="O793" s="24">
        <f>H793-J793</f>
        <v>20000</v>
      </c>
    </row>
    <row r="794" spans="1:15" x14ac:dyDescent="0.25">
      <c r="C794" s="2" t="s">
        <v>579</v>
      </c>
      <c r="D794" s="2">
        <v>1</v>
      </c>
      <c r="E794" s="2">
        <v>10000</v>
      </c>
      <c r="F794" s="2">
        <v>10000</v>
      </c>
      <c r="H794" s="2">
        <v>0</v>
      </c>
      <c r="I794" s="4"/>
      <c r="N794" s="23"/>
      <c r="O794" s="24">
        <f>H794-J794</f>
        <v>0</v>
      </c>
    </row>
    <row r="795" spans="1:15" x14ac:dyDescent="0.25">
      <c r="C795" s="2" t="s">
        <v>580</v>
      </c>
      <c r="D795" s="2">
        <v>1</v>
      </c>
      <c r="E795" s="2">
        <v>31500</v>
      </c>
      <c r="F795" s="2">
        <v>31500</v>
      </c>
      <c r="H795" s="2">
        <v>31500</v>
      </c>
      <c r="I795" s="4"/>
      <c r="N795" s="23"/>
      <c r="O795" s="24">
        <f>H795-J795</f>
        <v>31500</v>
      </c>
    </row>
    <row r="796" spans="1:15" x14ac:dyDescent="0.25">
      <c r="C796" s="2" t="s">
        <v>581</v>
      </c>
      <c r="D796" s="2">
        <v>1</v>
      </c>
      <c r="E796" s="2">
        <v>15000</v>
      </c>
      <c r="F796" s="2">
        <v>15000</v>
      </c>
      <c r="H796" s="2">
        <v>15000</v>
      </c>
      <c r="I796" s="4"/>
      <c r="N796" s="23"/>
      <c r="O796" s="24">
        <f>H796-J796</f>
        <v>15000</v>
      </c>
    </row>
    <row r="797" spans="1:15" x14ac:dyDescent="0.25">
      <c r="C797" s="2" t="s">
        <v>582</v>
      </c>
      <c r="D797" s="2">
        <v>0.5</v>
      </c>
      <c r="E797" s="2">
        <v>18000</v>
      </c>
      <c r="F797" s="2">
        <v>9000</v>
      </c>
      <c r="H797" s="2">
        <v>9000</v>
      </c>
      <c r="I797" s="4"/>
      <c r="N797" s="23"/>
      <c r="O797" s="24">
        <f>H797-J797</f>
        <v>9000</v>
      </c>
    </row>
    <row r="798" spans="1:15" x14ac:dyDescent="0.25">
      <c r="C798" s="2" t="s">
        <v>583</v>
      </c>
      <c r="D798" s="2">
        <v>1</v>
      </c>
      <c r="E798" s="2">
        <v>2900</v>
      </c>
      <c r="F798" s="2">
        <v>2900</v>
      </c>
      <c r="H798" s="2">
        <v>2900</v>
      </c>
      <c r="I798" s="4"/>
      <c r="N798" s="23"/>
      <c r="O798" s="24">
        <f>H798-J798</f>
        <v>2900</v>
      </c>
    </row>
    <row r="799" spans="1:15" x14ac:dyDescent="0.25">
      <c r="A799" s="2">
        <v>25110</v>
      </c>
      <c r="B799" s="2">
        <v>57500</v>
      </c>
      <c r="C799" s="2" t="s">
        <v>584</v>
      </c>
      <c r="G799" s="3"/>
      <c r="H799" s="4">
        <v>2500</v>
      </c>
      <c r="I799" s="4">
        <f>[1]Expense!N382</f>
        <v>4000</v>
      </c>
      <c r="J799" s="4">
        <f>[1]Expense!I382</f>
        <v>2500</v>
      </c>
      <c r="K799" s="4">
        <f>[2]Expense!K357</f>
        <v>2268.16</v>
      </c>
      <c r="L799" s="4">
        <v>16893.55</v>
      </c>
      <c r="M799" s="4">
        <f>10935.39+842.85</f>
        <v>11778.24</v>
      </c>
      <c r="N799" s="23">
        <f>(H799-J799)/J799</f>
        <v>0</v>
      </c>
      <c r="O799" s="24">
        <f>H799-J799</f>
        <v>0</v>
      </c>
    </row>
    <row r="800" spans="1:15" x14ac:dyDescent="0.25">
      <c r="C800" s="2" t="s">
        <v>585</v>
      </c>
      <c r="G800" s="3"/>
      <c r="I800" s="4"/>
      <c r="N800" s="23"/>
      <c r="O800" s="24">
        <f>H800-J800</f>
        <v>0</v>
      </c>
    </row>
    <row r="801" spans="1:15" x14ac:dyDescent="0.25">
      <c r="A801" s="2">
        <v>25110</v>
      </c>
      <c r="B801" s="2">
        <v>57600</v>
      </c>
      <c r="C801" s="2" t="s">
        <v>330</v>
      </c>
      <c r="G801" s="3"/>
      <c r="I801" s="4">
        <f>[1]Expense!$N$383</f>
        <v>0</v>
      </c>
      <c r="J801" s="4">
        <f>[1]Expense!I383</f>
        <v>0</v>
      </c>
      <c r="K801" s="4">
        <f>[2]Expense!K358</f>
        <v>0</v>
      </c>
      <c r="L801" s="4">
        <v>8176.38</v>
      </c>
      <c r="M801" s="4">
        <v>8176.38</v>
      </c>
      <c r="N801" s="23"/>
      <c r="O801" s="24">
        <f>H801-J801</f>
        <v>0</v>
      </c>
    </row>
    <row r="802" spans="1:15" s="5" customFormat="1" x14ac:dyDescent="0.25">
      <c r="A802" s="5" t="s">
        <v>23</v>
      </c>
      <c r="B802" s="5" t="s">
        <v>586</v>
      </c>
      <c r="G802" s="21">
        <f t="shared" ref="G802:M802" si="20">SUM(G733:G801)</f>
        <v>0</v>
      </c>
      <c r="H802" s="21">
        <f>SUM(H733:H801)</f>
        <v>1115589</v>
      </c>
      <c r="I802" s="22">
        <f t="shared" si="20"/>
        <v>680416</v>
      </c>
      <c r="J802" s="22">
        <f t="shared" si="20"/>
        <v>612923.6</v>
      </c>
      <c r="K802" s="22">
        <f t="shared" si="20"/>
        <v>547438.42000000004</v>
      </c>
      <c r="L802" s="22">
        <f t="shared" si="20"/>
        <v>566730.36</v>
      </c>
      <c r="M802" s="22">
        <f t="shared" si="20"/>
        <v>617666.07999999996</v>
      </c>
      <c r="N802" s="25">
        <f>(H802-J802)/J802</f>
        <v>0.82011102199360575</v>
      </c>
      <c r="O802" s="26">
        <f>H802-J802</f>
        <v>502665.4</v>
      </c>
    </row>
    <row r="803" spans="1:15" x14ac:dyDescent="0.25">
      <c r="I803" s="4">
        <f>[1]Expense!N386</f>
        <v>0</v>
      </c>
      <c r="J803" s="4">
        <f>[1]Expense!I385</f>
        <v>0</v>
      </c>
      <c r="K803" s="22"/>
      <c r="N803" s="23"/>
      <c r="O803" s="24">
        <f>H803-J803</f>
        <v>0</v>
      </c>
    </row>
    <row r="804" spans="1:15" s="5" customFormat="1" x14ac:dyDescent="0.25">
      <c r="A804" s="5">
        <v>25120</v>
      </c>
      <c r="B804" s="5" t="s">
        <v>587</v>
      </c>
      <c r="H804" s="21"/>
      <c r="I804" s="4"/>
      <c r="J804" s="4"/>
      <c r="K804" s="4"/>
      <c r="L804" s="22"/>
      <c r="M804" s="22"/>
      <c r="N804" s="23"/>
      <c r="O804" s="24">
        <f>H804-J804</f>
        <v>0</v>
      </c>
    </row>
    <row r="805" spans="1:15" x14ac:dyDescent="0.25">
      <c r="A805" s="2">
        <v>25120</v>
      </c>
      <c r="B805" s="2">
        <v>51100</v>
      </c>
      <c r="C805" s="2" t="s">
        <v>26</v>
      </c>
      <c r="G805" s="3"/>
      <c r="H805" s="4">
        <v>141500</v>
      </c>
      <c r="I805" s="4">
        <f>[1]Expense!N387</f>
        <v>107500</v>
      </c>
      <c r="J805" s="4">
        <f>[1]Expense!I387</f>
        <v>152900</v>
      </c>
      <c r="K805" s="4">
        <f>[2]Expense!K362</f>
        <v>119124.94</v>
      </c>
      <c r="L805" s="4">
        <f>114244.77+250</f>
        <v>114494.77</v>
      </c>
      <c r="M805" s="4">
        <f>122714.27+150</f>
        <v>122864.27</v>
      </c>
      <c r="N805" s="23">
        <f>(H805-J805)/J805</f>
        <v>-7.4558534990189662E-2</v>
      </c>
      <c r="O805" s="24">
        <f>H805-J805</f>
        <v>-11400</v>
      </c>
    </row>
    <row r="806" spans="1:15" x14ac:dyDescent="0.25">
      <c r="A806" s="2">
        <v>25120</v>
      </c>
      <c r="B806" s="2">
        <v>51400</v>
      </c>
      <c r="C806" s="2" t="s">
        <v>29</v>
      </c>
      <c r="G806" s="3"/>
      <c r="H806" s="4">
        <v>3500</v>
      </c>
      <c r="I806" s="4">
        <f>[1]Expense!N388</f>
        <v>3500</v>
      </c>
      <c r="J806" s="4">
        <f>[1]Expense!I388</f>
        <v>3500</v>
      </c>
      <c r="K806" s="4">
        <f>[2]Expense!K363</f>
        <v>1410.26</v>
      </c>
      <c r="L806" s="4">
        <v>4614.8999999999996</v>
      </c>
      <c r="M806" s="4">
        <v>0</v>
      </c>
      <c r="N806" s="23">
        <f>(H806-J806)/J806</f>
        <v>0</v>
      </c>
      <c r="O806" s="24">
        <f>H806-J806</f>
        <v>0</v>
      </c>
    </row>
    <row r="807" spans="1:15" x14ac:dyDescent="0.25">
      <c r="A807" s="2">
        <v>25120</v>
      </c>
      <c r="B807" s="2">
        <v>51500</v>
      </c>
      <c r="C807" s="2" t="s">
        <v>245</v>
      </c>
      <c r="G807" s="3"/>
      <c r="H807" s="4">
        <v>15025</v>
      </c>
      <c r="I807" s="4">
        <f>[1]Expense!N389</f>
        <v>10500</v>
      </c>
      <c r="J807" s="4">
        <f>[1]Expense!I389</f>
        <v>6000</v>
      </c>
      <c r="K807" s="4">
        <f>[2]Expense!K364</f>
        <v>6098.1</v>
      </c>
      <c r="L807" s="4">
        <v>115.38</v>
      </c>
      <c r="M807" s="4">
        <v>0</v>
      </c>
      <c r="N807" s="23">
        <f>(H807-J807)/J807</f>
        <v>1.5041666666666667</v>
      </c>
      <c r="O807" s="24">
        <f>H807-J807</f>
        <v>9025</v>
      </c>
    </row>
    <row r="808" spans="1:15" x14ac:dyDescent="0.25">
      <c r="A808" s="2">
        <v>25120</v>
      </c>
      <c r="B808" s="2">
        <v>51510</v>
      </c>
      <c r="C808" s="2" t="s">
        <v>31</v>
      </c>
      <c r="G808" s="3"/>
      <c r="H808" s="4"/>
      <c r="I808" s="4">
        <f>[1]Expense!N390</f>
        <v>0</v>
      </c>
      <c r="J808" s="4">
        <f>[1]Expense!I390</f>
        <v>0</v>
      </c>
      <c r="K808" s="4">
        <f>[2]Expense!K365</f>
        <v>506.64</v>
      </c>
      <c r="L808" s="4">
        <v>0</v>
      </c>
      <c r="M808" s="4">
        <v>410.4</v>
      </c>
      <c r="N808" s="23" t="e">
        <f>(H808-J808)/J808</f>
        <v>#DIV/0!</v>
      </c>
      <c r="O808" s="24">
        <f>H808-J808</f>
        <v>0</v>
      </c>
    </row>
    <row r="809" spans="1:15" x14ac:dyDescent="0.25">
      <c r="A809" s="2">
        <v>25120</v>
      </c>
      <c r="B809" s="2">
        <v>51520</v>
      </c>
      <c r="C809" s="2" t="s">
        <v>32</v>
      </c>
      <c r="G809" s="3"/>
      <c r="H809" s="4">
        <v>1000</v>
      </c>
      <c r="I809" s="4">
        <f>[1]Expense!N391</f>
        <v>650</v>
      </c>
      <c r="J809" s="4">
        <f>[1]Expense!I391</f>
        <v>1100</v>
      </c>
      <c r="K809" s="4">
        <f>[2]Expense!K366</f>
        <v>650</v>
      </c>
      <c r="L809" s="4">
        <v>650</v>
      </c>
      <c r="M809" s="4">
        <v>1100</v>
      </c>
      <c r="N809" s="23">
        <f>(H809-J809)/J809</f>
        <v>-9.0909090909090912E-2</v>
      </c>
      <c r="O809" s="24">
        <f>H809-J809</f>
        <v>-100</v>
      </c>
    </row>
    <row r="810" spans="1:15" x14ac:dyDescent="0.25">
      <c r="A810" s="2">
        <v>25120</v>
      </c>
      <c r="B810" s="2">
        <v>52100</v>
      </c>
      <c r="C810" s="2" t="s">
        <v>33</v>
      </c>
      <c r="G810" s="3"/>
      <c r="H810" s="3">
        <v>18500</v>
      </c>
      <c r="I810" s="4">
        <f>[1]Expense!N392</f>
        <v>20500</v>
      </c>
      <c r="J810" s="4">
        <f>[1]Expense!I392</f>
        <v>40669</v>
      </c>
      <c r="K810" s="4">
        <f>[2]Expense!K367</f>
        <v>35058.71</v>
      </c>
      <c r="L810" s="4">
        <f>50977.85+110.82</f>
        <v>51088.67</v>
      </c>
      <c r="M810" s="4">
        <f>44496.31+46.09</f>
        <v>44542.399999999994</v>
      </c>
      <c r="N810" s="23">
        <f>(H810-J810)/J810</f>
        <v>-0.5451080675698935</v>
      </c>
      <c r="O810" s="24">
        <f>H810-J810</f>
        <v>-22169</v>
      </c>
    </row>
    <row r="811" spans="1:15" x14ac:dyDescent="0.25">
      <c r="C811" s="2" t="s">
        <v>536</v>
      </c>
      <c r="F811" s="2">
        <v>17500</v>
      </c>
      <c r="G811" s="3"/>
      <c r="I811" s="4"/>
      <c r="N811" s="23" t="e">
        <f>(H811-J811)/J811</f>
        <v>#DIV/0!</v>
      </c>
      <c r="O811" s="24">
        <f>H811-J811</f>
        <v>0</v>
      </c>
    </row>
    <row r="812" spans="1:15" x14ac:dyDescent="0.25">
      <c r="C812" s="2" t="s">
        <v>537</v>
      </c>
      <c r="D812" s="2">
        <v>2</v>
      </c>
      <c r="E812" s="2">
        <v>500</v>
      </c>
      <c r="F812" s="2">
        <v>1000</v>
      </c>
      <c r="G812" s="3"/>
      <c r="I812" s="4"/>
      <c r="N812" s="23" t="e">
        <f>(H812-J812)/J812</f>
        <v>#DIV/0!</v>
      </c>
      <c r="O812" s="24">
        <f>H812-J812</f>
        <v>0</v>
      </c>
    </row>
    <row r="813" spans="1:15" x14ac:dyDescent="0.25">
      <c r="A813" s="2">
        <v>25120</v>
      </c>
      <c r="B813" s="2">
        <v>52140</v>
      </c>
      <c r="C813" s="2" t="s">
        <v>34</v>
      </c>
      <c r="G813" s="3"/>
      <c r="H813" s="3">
        <v>585</v>
      </c>
      <c r="I813" s="2">
        <f>[1]Expense!N393</f>
        <v>0</v>
      </c>
      <c r="J813" s="4">
        <f>[1]Expense!I393</f>
        <v>1422.9</v>
      </c>
      <c r="N813" s="23">
        <f>(H813-J813)/J813</f>
        <v>-0.58886780518659076</v>
      </c>
      <c r="O813" s="24">
        <f>H813-J813</f>
        <v>-837.90000000000009</v>
      </c>
    </row>
    <row r="814" spans="1:15" x14ac:dyDescent="0.25">
      <c r="A814" s="2">
        <v>25120</v>
      </c>
      <c r="B814" s="2">
        <v>52200</v>
      </c>
      <c r="C814" s="2" t="s">
        <v>35</v>
      </c>
      <c r="G814" s="3"/>
      <c r="H814" s="4">
        <v>11150</v>
      </c>
      <c r="I814" s="2">
        <f>[1]Expense!N394</f>
        <v>9950</v>
      </c>
      <c r="J814" s="4">
        <f>[1]Expense!I394</f>
        <v>12100</v>
      </c>
      <c r="K814" s="4">
        <f>[2]Expense!K368</f>
        <v>9490.51</v>
      </c>
      <c r="L814" s="4">
        <f>8871.12+75.73</f>
        <v>8946.85</v>
      </c>
      <c r="M814" s="4">
        <f>9277.2+1349.54</f>
        <v>10626.740000000002</v>
      </c>
      <c r="N814" s="23">
        <f>(H814-J814)/J814</f>
        <v>-7.8512396694214878E-2</v>
      </c>
      <c r="O814" s="24">
        <f>H814-J814</f>
        <v>-950</v>
      </c>
    </row>
    <row r="815" spans="1:15" x14ac:dyDescent="0.25">
      <c r="A815" s="2">
        <v>25120</v>
      </c>
      <c r="B815" s="2">
        <v>52230</v>
      </c>
      <c r="C815" s="2" t="s">
        <v>36</v>
      </c>
      <c r="G815" s="3"/>
      <c r="H815" s="4">
        <v>19800</v>
      </c>
      <c r="I815" s="4">
        <f>[1]Expense!N395</f>
        <v>16445</v>
      </c>
      <c r="J815" s="4">
        <f>[1]Expense!I395</f>
        <v>21900</v>
      </c>
      <c r="K815" s="4">
        <f>[2]Expense!K369</f>
        <v>17184.240000000002</v>
      </c>
      <c r="L815" s="4">
        <f>15374.39+27.92</f>
        <v>15402.31</v>
      </c>
      <c r="M815" s="4">
        <f>13602.3+16.77</f>
        <v>13619.07</v>
      </c>
      <c r="N815" s="23">
        <f>(H815-J815)/J815</f>
        <v>-9.5890410958904104E-2</v>
      </c>
      <c r="O815" s="24">
        <f>H815-J815</f>
        <v>-2100</v>
      </c>
    </row>
    <row r="816" spans="1:15" x14ac:dyDescent="0.25">
      <c r="A816" s="2">
        <v>25120</v>
      </c>
      <c r="B816" s="2">
        <v>52250</v>
      </c>
      <c r="C816" s="2" t="s">
        <v>37</v>
      </c>
      <c r="G816" s="3"/>
      <c r="H816" s="3">
        <v>70</v>
      </c>
      <c r="I816" s="4">
        <f>[1]Expense!N396</f>
        <v>81</v>
      </c>
      <c r="J816" s="4">
        <f>[1]Expense!I396</f>
        <v>81</v>
      </c>
      <c r="K816" s="4">
        <f>[2]Expense!K370</f>
        <v>89.43</v>
      </c>
      <c r="L816" s="4">
        <v>99.77</v>
      </c>
      <c r="M816" s="4">
        <v>99.77</v>
      </c>
      <c r="N816" s="23">
        <f>(H816-J816)/J816</f>
        <v>-0.13580246913580246</v>
      </c>
      <c r="O816" s="24">
        <f>H816-J816</f>
        <v>-11</v>
      </c>
    </row>
    <row r="817" spans="1:15" x14ac:dyDescent="0.25">
      <c r="A817" s="2">
        <v>25120</v>
      </c>
      <c r="B817" s="2">
        <v>52260</v>
      </c>
      <c r="C817" s="2" t="s">
        <v>38</v>
      </c>
      <c r="G817" s="3"/>
      <c r="H817" s="3">
        <v>2925</v>
      </c>
      <c r="I817" s="4">
        <f>[1]Expense!N397</f>
        <v>2700</v>
      </c>
      <c r="J817" s="4">
        <f>[1]Expense!I397</f>
        <v>2700</v>
      </c>
      <c r="K817" s="4">
        <f>[2]Expense!K371</f>
        <v>3654</v>
      </c>
      <c r="L817" s="4">
        <v>5067</v>
      </c>
      <c r="M817" s="4">
        <v>5905</v>
      </c>
      <c r="N817" s="23">
        <f>(H817-J817)/J817</f>
        <v>8.3333333333333329E-2</v>
      </c>
      <c r="O817" s="24">
        <f>H817-J817</f>
        <v>225</v>
      </c>
    </row>
    <row r="818" spans="1:15" x14ac:dyDescent="0.25">
      <c r="A818" s="2">
        <v>25120</v>
      </c>
      <c r="B818" s="2">
        <v>56100</v>
      </c>
      <c r="C818" s="2" t="s">
        <v>153</v>
      </c>
      <c r="G818" s="3"/>
      <c r="H818" s="4">
        <v>1500</v>
      </c>
      <c r="I818" s="4">
        <f>[1]Expense!N398</f>
        <v>1500</v>
      </c>
      <c r="J818" s="4">
        <f>[1]Expense!I398</f>
        <v>1500</v>
      </c>
      <c r="K818" s="4">
        <f>[2]Expense!K372</f>
        <v>1594.12</v>
      </c>
      <c r="L818" s="4">
        <f>969.05+125</f>
        <v>1094.05</v>
      </c>
      <c r="M818" s="4">
        <v>1198.43</v>
      </c>
      <c r="N818" s="23">
        <f>(H818-J818)/J818</f>
        <v>0</v>
      </c>
      <c r="O818" s="24">
        <f>H818-J818</f>
        <v>0</v>
      </c>
    </row>
    <row r="819" spans="1:15" x14ac:dyDescent="0.25">
      <c r="A819" s="2">
        <v>25120</v>
      </c>
      <c r="B819" s="2">
        <v>56115</v>
      </c>
      <c r="C819" s="2" t="s">
        <v>565</v>
      </c>
      <c r="D819" s="2">
        <v>3</v>
      </c>
      <c r="E819" s="2">
        <v>200</v>
      </c>
      <c r="F819" s="2">
        <v>600</v>
      </c>
      <c r="G819" s="3"/>
      <c r="H819" s="4">
        <v>600</v>
      </c>
      <c r="I819" s="4">
        <f>[1]Expense!N399</f>
        <v>400</v>
      </c>
      <c r="J819" s="4">
        <f>[1]Expense!I399</f>
        <v>600</v>
      </c>
      <c r="K819" s="4">
        <f>[2]Expense!K373</f>
        <v>600</v>
      </c>
      <c r="L819" s="4">
        <v>392.44</v>
      </c>
      <c r="M819" s="4">
        <v>600</v>
      </c>
      <c r="N819" s="23">
        <f>(H819-J819)/J819</f>
        <v>0</v>
      </c>
      <c r="O819" s="24">
        <f>H819-J819</f>
        <v>0</v>
      </c>
    </row>
    <row r="820" spans="1:15" x14ac:dyDescent="0.25">
      <c r="A820" s="2">
        <v>25120</v>
      </c>
      <c r="B820" s="2">
        <v>56680</v>
      </c>
      <c r="C820" s="2" t="s">
        <v>59</v>
      </c>
      <c r="G820" s="3"/>
      <c r="I820" s="2">
        <f>[1]Expense!N400</f>
        <v>0</v>
      </c>
      <c r="J820" s="22">
        <f>[1]Expense!I400</f>
        <v>0</v>
      </c>
      <c r="K820" s="4">
        <f>[2]Expense!K374</f>
        <v>0</v>
      </c>
      <c r="L820" s="4">
        <v>0</v>
      </c>
      <c r="M820" s="4">
        <v>3597.38</v>
      </c>
      <c r="N820" s="23"/>
      <c r="O820" s="24">
        <f>H820-J820</f>
        <v>0</v>
      </c>
    </row>
    <row r="821" spans="1:15" s="5" customFormat="1" x14ac:dyDescent="0.25">
      <c r="A821" s="5" t="s">
        <v>23</v>
      </c>
      <c r="B821" s="5" t="s">
        <v>588</v>
      </c>
      <c r="G821" s="21">
        <f t="shared" ref="G821:M821" si="21">SUM(G805:G820)</f>
        <v>0</v>
      </c>
      <c r="H821" s="21">
        <f t="shared" si="21"/>
        <v>216155</v>
      </c>
      <c r="I821" s="22">
        <f t="shared" si="21"/>
        <v>173726</v>
      </c>
      <c r="J821" s="22">
        <f t="shared" si="21"/>
        <v>244472.9</v>
      </c>
      <c r="K821" s="22">
        <f t="shared" si="21"/>
        <v>195460.94999999998</v>
      </c>
      <c r="L821" s="22">
        <f t="shared" si="21"/>
        <v>201966.13999999998</v>
      </c>
      <c r="M821" s="22">
        <f t="shared" si="21"/>
        <v>204563.46</v>
      </c>
      <c r="N821" s="25">
        <f>(H821-J821)/J821</f>
        <v>-0.11583247059285505</v>
      </c>
      <c r="O821" s="26">
        <f>H821-J821</f>
        <v>-28317.899999999994</v>
      </c>
    </row>
    <row r="822" spans="1:15" x14ac:dyDescent="0.25">
      <c r="I822" s="4">
        <f>[1]Expense!N403</f>
        <v>0</v>
      </c>
      <c r="K822" s="22"/>
      <c r="N822" s="23"/>
      <c r="O822" s="24">
        <f>H822-J822</f>
        <v>0</v>
      </c>
    </row>
    <row r="823" spans="1:15" s="5" customFormat="1" x14ac:dyDescent="0.25">
      <c r="A823" s="5">
        <v>25130</v>
      </c>
      <c r="B823" s="5" t="s">
        <v>589</v>
      </c>
      <c r="H823" s="21"/>
      <c r="I823" s="4"/>
      <c r="J823" s="4">
        <f>[1]Expense!I403</f>
        <v>0</v>
      </c>
      <c r="K823" s="4"/>
      <c r="L823" s="22"/>
      <c r="M823" s="22"/>
      <c r="N823" s="23"/>
      <c r="O823" s="24">
        <f>H823-J823</f>
        <v>0</v>
      </c>
    </row>
    <row r="824" spans="1:15" x14ac:dyDescent="0.25">
      <c r="A824" s="2">
        <v>25130</v>
      </c>
      <c r="B824" s="2">
        <v>53301</v>
      </c>
      <c r="C824" s="2" t="s">
        <v>590</v>
      </c>
      <c r="G824" s="3"/>
      <c r="H824" s="4">
        <v>1454026</v>
      </c>
      <c r="I824" s="4">
        <f>[1]Expense!N404</f>
        <v>1380000</v>
      </c>
      <c r="J824" s="4">
        <f>[1]Expense!I404</f>
        <v>1442627</v>
      </c>
      <c r="K824" s="4">
        <f>[2]Expense!K378</f>
        <v>1240241.8</v>
      </c>
      <c r="L824" s="4">
        <v>1131896.05</v>
      </c>
      <c r="M824" s="4">
        <v>1133786.46</v>
      </c>
      <c r="N824" s="23">
        <f>(H824-J824)/J824</f>
        <v>7.9015573672196627E-3</v>
      </c>
      <c r="O824" s="24">
        <f>H824-J824</f>
        <v>11399</v>
      </c>
    </row>
    <row r="825" spans="1:15" x14ac:dyDescent="0.25">
      <c r="A825" s="2">
        <v>25130</v>
      </c>
      <c r="B825" s="2">
        <v>53500</v>
      </c>
      <c r="C825" s="2" t="s">
        <v>591</v>
      </c>
      <c r="D825" s="2">
        <v>12</v>
      </c>
      <c r="E825" s="2">
        <v>670</v>
      </c>
      <c r="G825" s="3"/>
      <c r="H825" s="4">
        <v>8040</v>
      </c>
      <c r="I825" s="4">
        <f>[1]Expense!N405</f>
        <v>10000</v>
      </c>
      <c r="J825" s="4">
        <f>[1]Expense!I405</f>
        <v>4440</v>
      </c>
      <c r="K825" s="4">
        <f>[2]Expense!K379</f>
        <v>5400.13</v>
      </c>
      <c r="L825" s="4">
        <v>3852.24</v>
      </c>
      <c r="M825" s="4">
        <v>4891.1899999999996</v>
      </c>
      <c r="N825" s="23">
        <f>(H825-J825)/J825</f>
        <v>0.81081081081081086</v>
      </c>
      <c r="O825" s="24">
        <f>H825-J825</f>
        <v>3600</v>
      </c>
    </row>
    <row r="826" spans="1:15" x14ac:dyDescent="0.25">
      <c r="A826" s="2">
        <v>25130</v>
      </c>
      <c r="B826" s="2">
        <v>54351</v>
      </c>
      <c r="C826" s="2" t="s">
        <v>592</v>
      </c>
      <c r="H826" s="4">
        <v>2500</v>
      </c>
      <c r="I826" s="4">
        <f>[1]Expense!N406</f>
        <v>1000</v>
      </c>
      <c r="J826" s="4">
        <f>[1]Expense!I406</f>
        <v>2500</v>
      </c>
      <c r="K826" s="4">
        <f>[2]Expense!K380</f>
        <v>4722.2299999999996</v>
      </c>
      <c r="L826" s="4">
        <v>268.58999999999997</v>
      </c>
      <c r="M826" s="4">
        <v>428.56</v>
      </c>
      <c r="N826" s="23">
        <f>(H826-J826)/J826</f>
        <v>0</v>
      </c>
      <c r="O826" s="24">
        <f>H826-J826</f>
        <v>0</v>
      </c>
    </row>
    <row r="827" spans="1:15" x14ac:dyDescent="0.25">
      <c r="A827" s="2">
        <v>25130</v>
      </c>
      <c r="B827" s="2">
        <v>56680</v>
      </c>
      <c r="C827" s="2" t="s">
        <v>59</v>
      </c>
      <c r="H827" s="4"/>
      <c r="I827" s="4">
        <f>[1]Expense!N407</f>
        <v>4702</v>
      </c>
      <c r="J827" s="4">
        <f>[1]Expense!I407</f>
        <v>0</v>
      </c>
      <c r="K827" s="4">
        <f>[2]Expense!K381</f>
        <v>51962.22</v>
      </c>
      <c r="L827" s="4">
        <v>0</v>
      </c>
      <c r="M827" s="4">
        <v>0</v>
      </c>
      <c r="N827" s="23"/>
      <c r="O827" s="24">
        <f>H827-J827</f>
        <v>0</v>
      </c>
    </row>
    <row r="828" spans="1:15" s="5" customFormat="1" x14ac:dyDescent="0.25">
      <c r="A828" s="5" t="s">
        <v>23</v>
      </c>
      <c r="B828" s="5" t="s">
        <v>593</v>
      </c>
      <c r="G828" s="21">
        <f>SUM(G824:G827)</f>
        <v>0</v>
      </c>
      <c r="H828" s="21">
        <f>SUM(H824:H827)</f>
        <v>1464566</v>
      </c>
      <c r="I828" s="22">
        <f>[1]Expense!N408</f>
        <v>1395702</v>
      </c>
      <c r="J828" s="22">
        <f>[1]Expense!I408</f>
        <v>1449567</v>
      </c>
      <c r="K828" s="22">
        <f>SUM(K824:K827)</f>
        <v>1302326.3799999999</v>
      </c>
      <c r="L828" s="22">
        <f>SUM(L824:L827)</f>
        <v>1136016.8800000001</v>
      </c>
      <c r="M828" s="22">
        <f>SUM(M824:M827)</f>
        <v>1139106.21</v>
      </c>
      <c r="N828" s="25">
        <f>(H828-J828)/J828</f>
        <v>1.0347227827344303E-2</v>
      </c>
      <c r="O828" s="26">
        <f>H828-J828</f>
        <v>14999</v>
      </c>
    </row>
    <row r="829" spans="1:15" x14ac:dyDescent="0.25">
      <c r="I829" s="4">
        <f>[1]Expense!N409</f>
        <v>0</v>
      </c>
      <c r="J829" s="4">
        <f>[1]Expense!I409</f>
        <v>0</v>
      </c>
      <c r="K829" s="22"/>
      <c r="N829" s="23"/>
      <c r="O829" s="24">
        <f>H829-J829</f>
        <v>0</v>
      </c>
    </row>
    <row r="830" spans="1:15" s="5" customFormat="1" x14ac:dyDescent="0.25">
      <c r="A830" s="5">
        <v>25140</v>
      </c>
      <c r="B830" s="5" t="s">
        <v>594</v>
      </c>
      <c r="H830" s="21"/>
      <c r="I830" s="4">
        <f>[1]Expense!N410</f>
        <v>0</v>
      </c>
      <c r="J830" s="4">
        <f>[1]Expense!I410</f>
        <v>0</v>
      </c>
      <c r="K830" s="4"/>
      <c r="L830" s="22"/>
      <c r="M830" s="22"/>
      <c r="N830" s="23"/>
      <c r="O830" s="24">
        <f>H830-J830</f>
        <v>0</v>
      </c>
    </row>
    <row r="831" spans="1:15" x14ac:dyDescent="0.25">
      <c r="A831" s="2">
        <v>25140</v>
      </c>
      <c r="B831" s="2">
        <v>51100</v>
      </c>
      <c r="C831" s="2" t="s">
        <v>26</v>
      </c>
      <c r="G831" s="3"/>
      <c r="H831" s="4">
        <v>3000000</v>
      </c>
      <c r="I831" s="4">
        <f>[1]Expense!N411</f>
        <v>2900000</v>
      </c>
      <c r="J831" s="4">
        <f>[1]Expense!I411</f>
        <v>3103300</v>
      </c>
      <c r="K831" s="4">
        <f>[2]Expense!K385</f>
        <v>2547576.73</v>
      </c>
      <c r="L831" s="4">
        <f>2283517.42+7467.2</f>
        <v>2290984.62</v>
      </c>
      <c r="M831" s="4">
        <f>2488329.8+7594.8</f>
        <v>2495924.5999999996</v>
      </c>
      <c r="N831" s="23">
        <f>(H831-J831)/J831</f>
        <v>-3.3287145941417198E-2</v>
      </c>
      <c r="O831" s="24">
        <f>H831-J831</f>
        <v>-103300</v>
      </c>
    </row>
    <row r="832" spans="1:15" x14ac:dyDescent="0.25">
      <c r="A832" s="2">
        <v>25140</v>
      </c>
      <c r="B832" s="2">
        <v>51150</v>
      </c>
      <c r="C832" s="2" t="s">
        <v>595</v>
      </c>
      <c r="G832" s="3"/>
      <c r="H832" s="4">
        <v>100000</v>
      </c>
      <c r="I832" s="4">
        <f>[1]Expense!N412</f>
        <v>85000</v>
      </c>
      <c r="J832" s="4">
        <f>[1]Expense!I412</f>
        <v>100000</v>
      </c>
      <c r="K832" s="4">
        <f>[2]Expense!K386</f>
        <v>87600</v>
      </c>
      <c r="L832" s="4">
        <v>89775</v>
      </c>
      <c r="M832" s="4">
        <v>0</v>
      </c>
      <c r="N832" s="23">
        <f>(H832-J832)/J832</f>
        <v>0</v>
      </c>
      <c r="O832" s="24">
        <f>H832-J832</f>
        <v>0</v>
      </c>
    </row>
    <row r="833" spans="1:15" x14ac:dyDescent="0.25">
      <c r="A833" s="2">
        <v>25140</v>
      </c>
      <c r="B833" s="2">
        <v>51200</v>
      </c>
      <c r="C833" s="2" t="s">
        <v>27</v>
      </c>
      <c r="G833" s="3"/>
      <c r="H833" s="4">
        <v>350000</v>
      </c>
      <c r="I833" s="4">
        <f>[1]Expense!N413</f>
        <v>337000</v>
      </c>
      <c r="J833" s="4">
        <f>[1]Expense!I413</f>
        <v>397800</v>
      </c>
      <c r="K833" s="4">
        <f>[2]Expense!K387</f>
        <v>261412.01</v>
      </c>
      <c r="L833" s="4">
        <f>309776.3+1500</f>
        <v>311276.3</v>
      </c>
      <c r="M833" s="4">
        <f>485342.57+785.7</f>
        <v>486128.27</v>
      </c>
      <c r="N833" s="23">
        <f>(H833-J833)/J833</f>
        <v>-0.12016088486676722</v>
      </c>
      <c r="O833" s="24">
        <f>H833-J833</f>
        <v>-47800</v>
      </c>
    </row>
    <row r="834" spans="1:15" x14ac:dyDescent="0.25">
      <c r="A834" s="2">
        <v>25140</v>
      </c>
      <c r="B834" s="2">
        <v>51400</v>
      </c>
      <c r="C834" s="2" t="s">
        <v>29</v>
      </c>
      <c r="G834" s="3"/>
      <c r="H834" s="4">
        <v>350000</v>
      </c>
      <c r="I834" s="4">
        <f>[1]Expense!N414</f>
        <v>280000</v>
      </c>
      <c r="J834" s="4">
        <f>[1]Expense!I414</f>
        <v>250000</v>
      </c>
      <c r="K834" s="4">
        <f>[2]Expense!K388</f>
        <v>263296.65000000002</v>
      </c>
      <c r="L834" s="4">
        <v>259844.81</v>
      </c>
      <c r="M834" s="4">
        <v>296671.98</v>
      </c>
      <c r="N834" s="23">
        <f>(H834-J834)/J834</f>
        <v>0.4</v>
      </c>
      <c r="O834" s="24">
        <f>H834-J834</f>
        <v>100000</v>
      </c>
    </row>
    <row r="835" spans="1:15" x14ac:dyDescent="0.25">
      <c r="A835" s="2">
        <v>25140</v>
      </c>
      <c r="B835" s="2">
        <v>51500</v>
      </c>
      <c r="C835" s="2" t="s">
        <v>245</v>
      </c>
      <c r="G835" s="3"/>
      <c r="H835" s="4">
        <v>59100</v>
      </c>
      <c r="I835" s="4">
        <f>[1]Expense!N415</f>
        <v>97150</v>
      </c>
      <c r="J835" s="4">
        <f>[1]Expense!I415</f>
        <v>32200</v>
      </c>
      <c r="K835" s="4">
        <f>[2]Expense!K389</f>
        <v>21568.49</v>
      </c>
      <c r="L835" s="4">
        <v>4913.66</v>
      </c>
      <c r="M835" s="4">
        <v>6568.02</v>
      </c>
      <c r="N835" s="23">
        <f>(H835-J835)/J835</f>
        <v>0.8354037267080745</v>
      </c>
      <c r="O835" s="24">
        <f>H835-J835</f>
        <v>26900</v>
      </c>
    </row>
    <row r="836" spans="1:15" x14ac:dyDescent="0.25">
      <c r="A836" s="2">
        <v>25140</v>
      </c>
      <c r="B836" s="2">
        <v>51510</v>
      </c>
      <c r="C836" s="2" t="s">
        <v>31</v>
      </c>
      <c r="G836" s="3"/>
      <c r="H836" s="4"/>
      <c r="I836" s="4">
        <f>[1]Expense!N416</f>
        <v>1406</v>
      </c>
      <c r="J836" s="4">
        <f>[1]Expense!I416</f>
        <v>1406</v>
      </c>
      <c r="K836" s="4">
        <f>[2]Expense!K390</f>
        <v>3673.2</v>
      </c>
      <c r="L836" s="4">
        <v>6828.24</v>
      </c>
      <c r="M836" s="4">
        <v>5555.52</v>
      </c>
      <c r="N836" s="23">
        <f>(H836-J836)/J836</f>
        <v>-1</v>
      </c>
      <c r="O836" s="24">
        <f>H836-J836</f>
        <v>-1406</v>
      </c>
    </row>
    <row r="837" spans="1:15" x14ac:dyDescent="0.25">
      <c r="A837" s="2">
        <v>25140</v>
      </c>
      <c r="B837" s="2">
        <v>51520</v>
      </c>
      <c r="C837" s="2" t="s">
        <v>32</v>
      </c>
      <c r="G837" s="3"/>
      <c r="H837" s="4">
        <v>12050</v>
      </c>
      <c r="I837" s="4">
        <f>[1]Expense!N417</f>
        <v>6400</v>
      </c>
      <c r="J837" s="4">
        <f>[1]Expense!I417</f>
        <v>5650</v>
      </c>
      <c r="K837" s="4">
        <f>[2]Expense!K391</f>
        <v>5770</v>
      </c>
      <c r="L837" s="4">
        <v>6040</v>
      </c>
      <c r="M837" s="4">
        <v>6020</v>
      </c>
      <c r="N837" s="23">
        <f>(H837-J837)/J837</f>
        <v>1.1327433628318584</v>
      </c>
      <c r="O837" s="24">
        <f>H837-J837</f>
        <v>6400</v>
      </c>
    </row>
    <row r="838" spans="1:15" x14ac:dyDescent="0.25">
      <c r="A838" s="2">
        <v>25140</v>
      </c>
      <c r="B838" s="2">
        <v>51900</v>
      </c>
      <c r="C838" s="2" t="s">
        <v>596</v>
      </c>
      <c r="G838" s="3"/>
      <c r="H838" s="4">
        <v>165300</v>
      </c>
      <c r="I838" s="4">
        <f>[1]Expense!N418</f>
        <v>154500</v>
      </c>
      <c r="J838" s="4">
        <f>[1]Expense!I418</f>
        <v>154500</v>
      </c>
      <c r="K838" s="4">
        <f>[2]Expense!K392</f>
        <v>142709.79</v>
      </c>
      <c r="L838" s="4">
        <v>136517.18</v>
      </c>
      <c r="M838" s="4">
        <v>98042.46</v>
      </c>
      <c r="N838" s="23">
        <f>(H838-J838)/J838</f>
        <v>6.9902912621359226E-2</v>
      </c>
      <c r="O838" s="24">
        <f>H838-J838</f>
        <v>10800</v>
      </c>
    </row>
    <row r="839" spans="1:15" x14ac:dyDescent="0.25">
      <c r="A839" s="2">
        <v>25140</v>
      </c>
      <c r="B839" s="2">
        <v>52100</v>
      </c>
      <c r="C839" s="2" t="s">
        <v>33</v>
      </c>
      <c r="G839" s="3"/>
      <c r="H839" s="3">
        <v>1328000</v>
      </c>
      <c r="I839" s="4">
        <f>[1]Expense!N419</f>
        <v>800000</v>
      </c>
      <c r="J839" s="4">
        <f>[1]Expense!I419</f>
        <v>1148900</v>
      </c>
      <c r="K839" s="4">
        <f>[2]Expense!K393</f>
        <v>847277.12</v>
      </c>
      <c r="L839" s="4">
        <f>928107.49+2717.16</f>
        <v>930824.65</v>
      </c>
      <c r="M839" s="4">
        <f>965830.1+1489.78</f>
        <v>967319.88</v>
      </c>
      <c r="N839" s="23">
        <f>(H839-J839)/J839</f>
        <v>0.15588824092610323</v>
      </c>
      <c r="O839" s="24">
        <f>H839-J839</f>
        <v>179100</v>
      </c>
    </row>
    <row r="840" spans="1:15" x14ac:dyDescent="0.25">
      <c r="C840" s="2" t="s">
        <v>536</v>
      </c>
      <c r="F840" s="2">
        <v>1300000</v>
      </c>
      <c r="G840" s="3"/>
      <c r="I840" s="4"/>
      <c r="N840" s="23"/>
      <c r="O840" s="24">
        <f>H840-J840</f>
        <v>0</v>
      </c>
    </row>
    <row r="841" spans="1:15" x14ac:dyDescent="0.25">
      <c r="C841" s="2" t="s">
        <v>537</v>
      </c>
      <c r="D841" s="2">
        <v>56</v>
      </c>
      <c r="E841" s="2">
        <v>500</v>
      </c>
      <c r="F841" s="2">
        <f>D841*E841</f>
        <v>28000</v>
      </c>
      <c r="G841" s="3"/>
      <c r="I841" s="4"/>
      <c r="N841" s="23"/>
      <c r="O841" s="24">
        <f>H841-J841</f>
        <v>0</v>
      </c>
    </row>
    <row r="842" spans="1:15" x14ac:dyDescent="0.25">
      <c r="A842" s="2">
        <v>25140</v>
      </c>
      <c r="B842" s="2">
        <v>52140</v>
      </c>
      <c r="C842" s="2" t="s">
        <v>34</v>
      </c>
      <c r="G842" s="3"/>
      <c r="H842" s="3">
        <v>19859</v>
      </c>
      <c r="I842" s="4">
        <f>[1]Expense!N420</f>
        <v>2750</v>
      </c>
      <c r="J842" s="4">
        <f>[1]Expense!I420</f>
        <v>4995</v>
      </c>
      <c r="N842" s="23">
        <f>(H842-J842)/J842</f>
        <v>2.9757757757757757</v>
      </c>
      <c r="O842" s="24">
        <f>H842-J842</f>
        <v>14864</v>
      </c>
    </row>
    <row r="843" spans="1:15" x14ac:dyDescent="0.25">
      <c r="A843" s="2">
        <v>25140</v>
      </c>
      <c r="B843" s="2">
        <v>52200</v>
      </c>
      <c r="C843" s="2" t="s">
        <v>35</v>
      </c>
      <c r="G843" s="3"/>
      <c r="H843" s="4">
        <v>350000</v>
      </c>
      <c r="I843" s="4">
        <f>[1]Expense!N421</f>
        <v>285000</v>
      </c>
      <c r="J843" s="4">
        <f>[1]Expense!I421</f>
        <v>252332</v>
      </c>
      <c r="K843" s="4">
        <f>[2]Expense!K394</f>
        <v>242729.54</v>
      </c>
      <c r="L843" s="4">
        <f>228127.11+2085.02</f>
        <v>230212.12999999998</v>
      </c>
      <c r="M843" s="4">
        <f>251380.83+29604.44</f>
        <v>280985.26999999996</v>
      </c>
      <c r="N843" s="23">
        <f>(H843-J843)/J843</f>
        <v>0.38706149041738663</v>
      </c>
      <c r="O843" s="24">
        <f>H843-J843</f>
        <v>97668</v>
      </c>
    </row>
    <row r="844" spans="1:15" x14ac:dyDescent="0.25">
      <c r="A844" s="2">
        <v>25140</v>
      </c>
      <c r="B844" s="2">
        <v>52230</v>
      </c>
      <c r="C844" s="2" t="s">
        <v>36</v>
      </c>
      <c r="G844" s="3"/>
      <c r="H844" s="4">
        <v>609000</v>
      </c>
      <c r="I844" s="4">
        <f>[1]Expense!N422</f>
        <v>470000</v>
      </c>
      <c r="J844" s="4">
        <f>[1]Expense!I422</f>
        <v>455187</v>
      </c>
      <c r="K844" s="4">
        <f>[2]Expense!K395</f>
        <v>394042.37</v>
      </c>
      <c r="L844" s="4">
        <f>340929.01+834.06</f>
        <v>341763.07</v>
      </c>
      <c r="M844" s="4">
        <f>313115.8+362.45</f>
        <v>313478.25</v>
      </c>
      <c r="N844" s="23">
        <f>(H844-J844)/J844</f>
        <v>0.33791167146689161</v>
      </c>
      <c r="O844" s="24">
        <f>H844-J844</f>
        <v>153813</v>
      </c>
    </row>
    <row r="845" spans="1:15" x14ac:dyDescent="0.25">
      <c r="A845" s="2">
        <v>25140</v>
      </c>
      <c r="B845" s="2">
        <v>52250</v>
      </c>
      <c r="C845" s="2" t="s">
        <v>37</v>
      </c>
      <c r="G845" s="3"/>
      <c r="H845" s="3">
        <v>2328</v>
      </c>
      <c r="I845" s="4">
        <f>[1]Expense!N423</f>
        <v>2686</v>
      </c>
      <c r="J845" s="4">
        <f>[1]Expense!I423</f>
        <v>2686</v>
      </c>
      <c r="K845" s="4">
        <f>[2]Expense!K396</f>
        <v>3429.34</v>
      </c>
      <c r="L845" s="4">
        <v>3430.72</v>
      </c>
      <c r="M845" s="4">
        <v>3430.72</v>
      </c>
      <c r="N845" s="23">
        <f>(H845-J845)/J845</f>
        <v>-0.13328369322412509</v>
      </c>
      <c r="O845" s="24">
        <f>H845-J845</f>
        <v>-358</v>
      </c>
    </row>
    <row r="846" spans="1:15" x14ac:dyDescent="0.25">
      <c r="A846" s="2">
        <v>25140</v>
      </c>
      <c r="B846" s="2">
        <v>52260</v>
      </c>
      <c r="C846" s="2" t="s">
        <v>38</v>
      </c>
      <c r="G846" s="3"/>
      <c r="H846" s="3">
        <v>68813</v>
      </c>
      <c r="I846" s="4">
        <f>[1]Expense!N424</f>
        <v>76672</v>
      </c>
      <c r="J846" s="4">
        <f>[1]Expense!I424</f>
        <v>76672</v>
      </c>
      <c r="K846" s="4">
        <f>[2]Expense!K397</f>
        <v>86731</v>
      </c>
      <c r="L846" s="4">
        <v>92628</v>
      </c>
      <c r="M846" s="4">
        <v>107935</v>
      </c>
      <c r="N846" s="23">
        <f>(H846-J846)/J846</f>
        <v>-0.10250156510851419</v>
      </c>
      <c r="O846" s="24">
        <f>H846-J846</f>
        <v>-7859</v>
      </c>
    </row>
    <row r="847" spans="1:15" x14ac:dyDescent="0.25">
      <c r="A847" s="2">
        <v>25140</v>
      </c>
      <c r="B847" s="2">
        <v>52270</v>
      </c>
      <c r="C847" s="2" t="s">
        <v>597</v>
      </c>
      <c r="G847" s="3"/>
      <c r="H847" s="4">
        <v>26600</v>
      </c>
      <c r="I847" s="4">
        <f>[1]Expense!N425</f>
        <v>10000</v>
      </c>
      <c r="J847" s="4">
        <f>[1]Expense!I425</f>
        <v>21600</v>
      </c>
      <c r="K847" s="4">
        <f>[2]Expense!K398</f>
        <v>11305.98</v>
      </c>
      <c r="L847" s="4">
        <v>7396.5</v>
      </c>
      <c r="M847" s="4">
        <v>7555</v>
      </c>
      <c r="N847" s="23">
        <f>(H847-J847)/J847</f>
        <v>0.23148148148148148</v>
      </c>
      <c r="O847" s="24">
        <f>H847-J847</f>
        <v>5000</v>
      </c>
    </row>
    <row r="848" spans="1:15" x14ac:dyDescent="0.25">
      <c r="C848" s="2" t="s">
        <v>598</v>
      </c>
      <c r="D848" s="2">
        <v>12</v>
      </c>
      <c r="E848" s="2">
        <v>1800</v>
      </c>
      <c r="F848" s="2">
        <f>D848*E848</f>
        <v>21600</v>
      </c>
      <c r="G848" s="3"/>
      <c r="H848" s="4"/>
      <c r="I848" s="4"/>
      <c r="N848" s="23"/>
      <c r="O848" s="24">
        <f>H848-J848</f>
        <v>0</v>
      </c>
    </row>
    <row r="849" spans="1:15" x14ac:dyDescent="0.25">
      <c r="C849" s="2" t="s">
        <v>599</v>
      </c>
      <c r="F849" s="2">
        <v>5000</v>
      </c>
      <c r="G849" s="3"/>
      <c r="H849" s="4"/>
      <c r="I849" s="4"/>
      <c r="N849" s="23"/>
      <c r="O849" s="24">
        <f>H849-J849</f>
        <v>0</v>
      </c>
    </row>
    <row r="850" spans="1:15" x14ac:dyDescent="0.25">
      <c r="A850" s="2">
        <v>25140</v>
      </c>
      <c r="B850" s="2">
        <v>52280</v>
      </c>
      <c r="C850" s="2" t="s">
        <v>65</v>
      </c>
      <c r="G850" s="3"/>
      <c r="H850" s="4">
        <v>1000</v>
      </c>
      <c r="I850" s="4">
        <f>[1]Expense!N426</f>
        <v>1200</v>
      </c>
      <c r="J850" s="4">
        <f>[1]Expense!I426</f>
        <v>1000</v>
      </c>
      <c r="K850" s="4">
        <f>[2]Expense!K399</f>
        <v>1458.5</v>
      </c>
      <c r="L850" s="4">
        <v>1102.28</v>
      </c>
      <c r="M850" s="4">
        <v>1400.49</v>
      </c>
      <c r="N850" s="23">
        <f>(H850-J850)/J850</f>
        <v>0</v>
      </c>
      <c r="O850" s="24">
        <f>H850-J850</f>
        <v>0</v>
      </c>
    </row>
    <row r="851" spans="1:15" x14ac:dyDescent="0.25">
      <c r="A851" s="2">
        <v>25140</v>
      </c>
      <c r="B851" s="2">
        <v>53301</v>
      </c>
      <c r="C851" s="2" t="s">
        <v>350</v>
      </c>
      <c r="G851" s="3"/>
      <c r="H851" s="4">
        <v>1181000</v>
      </c>
      <c r="I851" s="4">
        <f>[1]Expense!N427</f>
        <v>1290000</v>
      </c>
      <c r="J851" s="4">
        <f>[1]Expense!I427</f>
        <v>871500</v>
      </c>
      <c r="K851" s="4">
        <f>[2]Expense!K400</f>
        <v>725302.98</v>
      </c>
      <c r="L851" s="4">
        <v>206005.16</v>
      </c>
      <c r="M851" s="4">
        <v>418653.11</v>
      </c>
      <c r="N851" s="23">
        <f>(H851-J851)/J851</f>
        <v>0.35513482501434307</v>
      </c>
      <c r="O851" s="24">
        <f>H851-J851</f>
        <v>309500</v>
      </c>
    </row>
    <row r="852" spans="1:15" x14ac:dyDescent="0.25">
      <c r="A852" s="2">
        <v>25140</v>
      </c>
      <c r="B852" s="2">
        <v>53500</v>
      </c>
      <c r="C852" s="2" t="s">
        <v>356</v>
      </c>
      <c r="D852" s="2">
        <v>12</v>
      </c>
      <c r="E852" s="2">
        <v>12000</v>
      </c>
      <c r="F852" s="2">
        <v>144000</v>
      </c>
      <c r="G852" s="3"/>
      <c r="H852" s="4">
        <v>144000</v>
      </c>
      <c r="I852" s="4">
        <f>[1]Expense!N428</f>
        <v>135000</v>
      </c>
      <c r="J852" s="4">
        <f>[1]Expense!I428</f>
        <v>142500</v>
      </c>
      <c r="K852" s="4">
        <f>[2]Expense!K401</f>
        <v>120754.87</v>
      </c>
      <c r="L852" s="4">
        <v>172543</v>
      </c>
      <c r="M852" s="4">
        <f>150695.11+38391.73</f>
        <v>189086.84</v>
      </c>
      <c r="N852" s="23">
        <f>(H852-J852)/J852</f>
        <v>1.0526315789473684E-2</v>
      </c>
      <c r="O852" s="24">
        <f>H852-J852</f>
        <v>1500</v>
      </c>
    </row>
    <row r="853" spans="1:15" x14ac:dyDescent="0.25">
      <c r="A853" s="2">
        <v>25140</v>
      </c>
      <c r="B853" s="2">
        <v>56000</v>
      </c>
      <c r="C853" s="2" t="s">
        <v>600</v>
      </c>
      <c r="D853" s="2">
        <v>12</v>
      </c>
      <c r="E853" s="2">
        <v>2464</v>
      </c>
      <c r="F853" s="2">
        <f>D853*E853</f>
        <v>29568</v>
      </c>
      <c r="G853" s="3"/>
      <c r="H853" s="4">
        <v>29768</v>
      </c>
      <c r="I853" s="4">
        <f>[1]Expense!N429</f>
        <v>27000</v>
      </c>
      <c r="J853" s="4">
        <f>[1]Expense!I429</f>
        <v>22000</v>
      </c>
      <c r="K853" s="4">
        <f>[2]Expense!K402</f>
        <v>26084.09</v>
      </c>
      <c r="L853" s="4">
        <v>28288.959999999999</v>
      </c>
      <c r="M853" s="4">
        <v>37504.449999999997</v>
      </c>
      <c r="N853" s="23">
        <f>(H853-J853)/J853</f>
        <v>0.35309090909090907</v>
      </c>
      <c r="O853" s="24">
        <f>H853-J853</f>
        <v>7768</v>
      </c>
    </row>
    <row r="854" spans="1:15" x14ac:dyDescent="0.25">
      <c r="A854" s="2">
        <v>25140</v>
      </c>
      <c r="B854" s="2">
        <v>56115</v>
      </c>
      <c r="C854" s="2" t="s">
        <v>565</v>
      </c>
      <c r="D854" s="2">
        <v>25</v>
      </c>
      <c r="E854" s="2">
        <v>200</v>
      </c>
      <c r="F854" s="2">
        <v>5000</v>
      </c>
      <c r="G854" s="3"/>
      <c r="H854" s="4">
        <v>5000</v>
      </c>
      <c r="I854" s="4">
        <f>[1]Expense!N430</f>
        <v>3500</v>
      </c>
      <c r="J854" s="4">
        <f>[1]Expense!I430</f>
        <v>5000</v>
      </c>
      <c r="K854" s="4">
        <f>[2]Expense!K403</f>
        <v>4109.6000000000004</v>
      </c>
      <c r="L854" s="4">
        <v>4107.1000000000004</v>
      </c>
      <c r="M854" s="4">
        <v>5141.59</v>
      </c>
      <c r="N854" s="23">
        <f>(H854-J854)/J854</f>
        <v>0</v>
      </c>
      <c r="O854" s="24">
        <f>H854-J854</f>
        <v>0</v>
      </c>
    </row>
    <row r="855" spans="1:15" x14ac:dyDescent="0.25">
      <c r="A855" s="2">
        <v>25140</v>
      </c>
      <c r="B855" s="2">
        <v>56136</v>
      </c>
      <c r="C855" s="2" t="s">
        <v>601</v>
      </c>
      <c r="G855" s="3"/>
      <c r="H855" s="4"/>
      <c r="I855" s="4">
        <f>[1]Expense!N431</f>
        <v>-100</v>
      </c>
      <c r="J855" s="4">
        <f>[1]Expense!I431</f>
        <v>0</v>
      </c>
      <c r="K855" s="4">
        <f>[2]Expense!K404</f>
        <v>-197.45</v>
      </c>
      <c r="L855" s="4">
        <v>-42.26</v>
      </c>
      <c r="M855" s="4">
        <v>-131.57</v>
      </c>
      <c r="N855" s="23"/>
      <c r="O855" s="24">
        <f>H855-J855</f>
        <v>0</v>
      </c>
    </row>
    <row r="856" spans="1:15" x14ac:dyDescent="0.25">
      <c r="A856" s="2">
        <v>25140</v>
      </c>
      <c r="B856" s="2">
        <v>56680</v>
      </c>
      <c r="C856" s="2" t="s">
        <v>59</v>
      </c>
      <c r="G856" s="3"/>
      <c r="H856" s="4"/>
      <c r="I856" s="4">
        <f>[1]Expense!N432</f>
        <v>700</v>
      </c>
      <c r="J856" s="4">
        <f>[1]Expense!I432</f>
        <v>0</v>
      </c>
      <c r="K856" s="4">
        <f>[2]Expense!K405</f>
        <v>199.99</v>
      </c>
      <c r="L856" s="4">
        <v>19553</v>
      </c>
      <c r="M856" s="4">
        <v>0</v>
      </c>
      <c r="N856" s="23"/>
      <c r="O856" s="24">
        <f>H856-J856</f>
        <v>0</v>
      </c>
    </row>
    <row r="857" spans="1:15" s="5" customFormat="1" x14ac:dyDescent="0.25">
      <c r="A857" s="5" t="s">
        <v>23</v>
      </c>
      <c r="B857" s="5" t="s">
        <v>602</v>
      </c>
      <c r="G857" s="21">
        <f t="shared" ref="G857:M857" si="22">SUM(G831:G856)</f>
        <v>0</v>
      </c>
      <c r="H857" s="21">
        <f t="shared" si="22"/>
        <v>7801818</v>
      </c>
      <c r="I857" s="22">
        <f t="shared" si="22"/>
        <v>6965864</v>
      </c>
      <c r="J857" s="22">
        <f t="shared" si="22"/>
        <v>7049228</v>
      </c>
      <c r="K857" s="22">
        <f t="shared" si="22"/>
        <v>5796834.8000000007</v>
      </c>
      <c r="L857" s="22">
        <f t="shared" si="22"/>
        <v>5143992.120000001</v>
      </c>
      <c r="M857" s="22">
        <f t="shared" si="22"/>
        <v>5727269.879999999</v>
      </c>
      <c r="N857" s="25">
        <f>(H857-J857)/J857</f>
        <v>0.10676204543249275</v>
      </c>
      <c r="O857" s="26">
        <f>H857-J857</f>
        <v>752590</v>
      </c>
    </row>
    <row r="858" spans="1:15" x14ac:dyDescent="0.25">
      <c r="I858" s="4"/>
      <c r="K858" s="22"/>
      <c r="N858" s="23"/>
      <c r="O858" s="24">
        <f>H858-J858</f>
        <v>0</v>
      </c>
    </row>
    <row r="859" spans="1:15" s="5" customFormat="1" x14ac:dyDescent="0.25">
      <c r="A859" s="5">
        <v>25160</v>
      </c>
      <c r="B859" s="5" t="s">
        <v>603</v>
      </c>
      <c r="H859" s="21"/>
      <c r="I859" s="4"/>
      <c r="J859" s="4"/>
      <c r="K859" s="4"/>
      <c r="L859" s="22"/>
      <c r="M859" s="22"/>
      <c r="N859" s="23"/>
      <c r="O859" s="24">
        <f>H859-J859</f>
        <v>0</v>
      </c>
    </row>
    <row r="860" spans="1:15" x14ac:dyDescent="0.25">
      <c r="A860" s="2">
        <v>25160</v>
      </c>
      <c r="B860" s="2">
        <v>51100</v>
      </c>
      <c r="C860" s="2" t="s">
        <v>26</v>
      </c>
      <c r="G860" s="3"/>
      <c r="H860" s="4">
        <v>90300</v>
      </c>
      <c r="I860" s="2">
        <f>[1]Expense!N436</f>
        <v>99000</v>
      </c>
      <c r="J860" s="4">
        <f>[1]Expense!I436</f>
        <v>121100</v>
      </c>
      <c r="K860" s="4">
        <f>[2]Expense!K409</f>
        <v>104733.44</v>
      </c>
      <c r="L860" s="4">
        <f>91799.3+300</f>
        <v>92099.3</v>
      </c>
      <c r="M860" s="4">
        <f>91120.87+150</f>
        <v>91270.87</v>
      </c>
      <c r="N860" s="23">
        <f>(H860-J860)/J860</f>
        <v>-0.25433526011560692</v>
      </c>
      <c r="O860" s="24">
        <f>H860-J860</f>
        <v>-30800</v>
      </c>
    </row>
    <row r="861" spans="1:15" x14ac:dyDescent="0.25">
      <c r="A861" s="2">
        <v>25160</v>
      </c>
      <c r="B861" s="2">
        <v>51400</v>
      </c>
      <c r="C861" s="2" t="s">
        <v>29</v>
      </c>
      <c r="G861" s="3"/>
      <c r="H861" s="4">
        <v>100</v>
      </c>
      <c r="I861" s="2">
        <f>[1]Expense!N437</f>
        <v>50</v>
      </c>
      <c r="J861" s="4">
        <f>[1]Expense!I437</f>
        <v>0</v>
      </c>
      <c r="K861" s="4">
        <f>[2]Expense!K410</f>
        <v>243.5</v>
      </c>
      <c r="L861" s="4">
        <v>11.41</v>
      </c>
      <c r="M861" s="4">
        <v>0</v>
      </c>
      <c r="N861" s="23"/>
      <c r="O861" s="24">
        <f>H861-J861</f>
        <v>100</v>
      </c>
    </row>
    <row r="862" spans="1:15" x14ac:dyDescent="0.25">
      <c r="A862" s="2">
        <v>25160</v>
      </c>
      <c r="B862" s="2">
        <v>51500</v>
      </c>
      <c r="C862" s="2" t="s">
        <v>245</v>
      </c>
      <c r="G862" s="3"/>
      <c r="H862" s="4">
        <v>6000</v>
      </c>
      <c r="I862" s="4">
        <f>[1]Expense!N438</f>
        <v>9000</v>
      </c>
      <c r="J862" s="4">
        <f>[1]Expense!I438</f>
        <v>12000</v>
      </c>
      <c r="K862" s="4">
        <f>[2]Expense!K411</f>
        <v>12000</v>
      </c>
      <c r="L862" s="4">
        <v>1701.91</v>
      </c>
      <c r="M862" s="4">
        <v>28.85</v>
      </c>
      <c r="N862" s="23">
        <f>(H862-J862)/J862</f>
        <v>-0.5</v>
      </c>
      <c r="O862" s="24">
        <f>H862-J862</f>
        <v>-6000</v>
      </c>
    </row>
    <row r="863" spans="1:15" x14ac:dyDescent="0.25">
      <c r="A863" s="2">
        <v>25160</v>
      </c>
      <c r="B863" s="2">
        <v>51510</v>
      </c>
      <c r="C863" s="2" t="s">
        <v>31</v>
      </c>
      <c r="G863" s="3"/>
      <c r="H863" s="4"/>
      <c r="I863" s="4">
        <f>[1]Expense!N439</f>
        <v>0</v>
      </c>
      <c r="J863" s="4">
        <f>[1]Expense!I439</f>
        <v>0</v>
      </c>
      <c r="L863" s="4">
        <v>298.56</v>
      </c>
      <c r="M863" s="4">
        <v>685.2</v>
      </c>
      <c r="N863" s="23"/>
      <c r="O863" s="24">
        <f>H863-J863</f>
        <v>0</v>
      </c>
    </row>
    <row r="864" spans="1:15" x14ac:dyDescent="0.25">
      <c r="B864" s="2">
        <v>51520</v>
      </c>
      <c r="C864" s="2" t="s">
        <v>32</v>
      </c>
      <c r="G864" s="3"/>
      <c r="H864" s="4">
        <v>700</v>
      </c>
      <c r="I864" s="4"/>
      <c r="N864" s="23"/>
      <c r="O864" s="24">
        <f>H864-J864</f>
        <v>700</v>
      </c>
    </row>
    <row r="865" spans="1:15" x14ac:dyDescent="0.25">
      <c r="A865" s="2">
        <v>25160</v>
      </c>
      <c r="B865" s="2">
        <v>52100</v>
      </c>
      <c r="C865" s="2" t="s">
        <v>33</v>
      </c>
      <c r="G865" s="3"/>
      <c r="H865" s="4">
        <v>13000</v>
      </c>
      <c r="I865" s="4">
        <f>[1]Expense!N440</f>
        <v>10073</v>
      </c>
      <c r="J865" s="4">
        <f>[1]Expense!I440</f>
        <v>10073</v>
      </c>
      <c r="K865" s="4">
        <f>[2]Expense!K412</f>
        <v>11553.58</v>
      </c>
      <c r="L865" s="4">
        <f>35394+105.56</f>
        <v>35499.56</v>
      </c>
      <c r="M865" s="4">
        <f>58977.37+95.94</f>
        <v>59073.310000000005</v>
      </c>
      <c r="N865" s="23">
        <f>(H865-J865)/J865</f>
        <v>0.29057877494291673</v>
      </c>
      <c r="O865" s="24">
        <f>H865-J865</f>
        <v>2927</v>
      </c>
    </row>
    <row r="866" spans="1:15" x14ac:dyDescent="0.25">
      <c r="C866" s="2" t="s">
        <v>536</v>
      </c>
      <c r="F866" s="2">
        <v>12500</v>
      </c>
      <c r="G866" s="3"/>
      <c r="H866" s="4"/>
      <c r="I866" s="4"/>
      <c r="N866" s="23"/>
      <c r="O866" s="24">
        <f>H866-J866</f>
        <v>0</v>
      </c>
    </row>
    <row r="867" spans="1:15" x14ac:dyDescent="0.25">
      <c r="C867" s="2" t="s">
        <v>537</v>
      </c>
      <c r="D867" s="2">
        <v>1</v>
      </c>
      <c r="E867" s="2">
        <v>500</v>
      </c>
      <c r="F867" s="2">
        <v>500</v>
      </c>
      <c r="G867" s="3"/>
      <c r="H867" s="4"/>
      <c r="I867" s="4"/>
      <c r="N867" s="23"/>
      <c r="O867" s="24">
        <f>H867-J867</f>
        <v>0</v>
      </c>
    </row>
    <row r="868" spans="1:15" x14ac:dyDescent="0.25">
      <c r="A868" s="2">
        <v>25160</v>
      </c>
      <c r="B868" s="2">
        <v>52140</v>
      </c>
      <c r="C868" s="2" t="s">
        <v>34</v>
      </c>
      <c r="G868" s="3"/>
      <c r="H868" s="3">
        <v>1169</v>
      </c>
      <c r="I868" s="4">
        <f>[1]Expense!N441</f>
        <v>0</v>
      </c>
      <c r="J868" s="4">
        <f>[1]Expense!I441</f>
        <v>474.3</v>
      </c>
      <c r="N868" s="23">
        <f>(H868-J868)/J868</f>
        <v>1.464684798650643</v>
      </c>
      <c r="O868" s="24">
        <f>H868-J868</f>
        <v>694.7</v>
      </c>
    </row>
    <row r="869" spans="1:15" x14ac:dyDescent="0.25">
      <c r="A869" s="2">
        <v>25160</v>
      </c>
      <c r="B869" s="2">
        <v>52200</v>
      </c>
      <c r="C869" s="2" t="s">
        <v>35</v>
      </c>
      <c r="G869" s="3"/>
      <c r="H869" s="4">
        <v>7450</v>
      </c>
      <c r="I869" s="4">
        <f>[1]Expense!N442</f>
        <v>9000</v>
      </c>
      <c r="J869" s="4">
        <f>[1]Expense!I442</f>
        <v>10300</v>
      </c>
      <c r="K869" s="4">
        <f>[2]Expense!K413</f>
        <v>8730.19</v>
      </c>
      <c r="L869" s="4">
        <f>6900.89+67.99</f>
        <v>6968.88</v>
      </c>
      <c r="M869" s="4">
        <f>6691.8+1158.41</f>
        <v>7850.21</v>
      </c>
      <c r="N869" s="23">
        <f>(H869-J869)/J869</f>
        <v>-0.27669902912621358</v>
      </c>
      <c r="O869" s="24">
        <f>H869-J869</f>
        <v>-2850</v>
      </c>
    </row>
    <row r="870" spans="1:15" x14ac:dyDescent="0.25">
      <c r="A870" s="2">
        <v>25160</v>
      </c>
      <c r="B870" s="2">
        <v>52230</v>
      </c>
      <c r="C870" s="2" t="s">
        <v>36</v>
      </c>
      <c r="G870" s="3"/>
      <c r="H870" s="4">
        <v>13400</v>
      </c>
      <c r="I870" s="4">
        <f>[1]Expense!N443</f>
        <v>15500</v>
      </c>
      <c r="J870" s="4">
        <f>[1]Expense!I443</f>
        <v>18500</v>
      </c>
      <c r="K870" s="4">
        <f>[2]Expense!K414</f>
        <v>14784.3</v>
      </c>
      <c r="L870" s="4">
        <f>11731.53+33.54</f>
        <v>11765.070000000002</v>
      </c>
      <c r="M870" s="4">
        <f>10254.45+16.77</f>
        <v>10271.220000000001</v>
      </c>
      <c r="N870" s="23">
        <f>(H870-J870)/J870</f>
        <v>-0.27567567567567569</v>
      </c>
      <c r="O870" s="24">
        <f>H870-J870</f>
        <v>-5100</v>
      </c>
    </row>
    <row r="871" spans="1:15" x14ac:dyDescent="0.25">
      <c r="A871" s="2">
        <v>25160</v>
      </c>
      <c r="B871" s="2">
        <v>52250</v>
      </c>
      <c r="C871" s="2" t="s">
        <v>37</v>
      </c>
      <c r="G871" s="3"/>
      <c r="H871" s="3">
        <v>105</v>
      </c>
      <c r="I871" s="4">
        <f>[1]Expense!N444</f>
        <v>81</v>
      </c>
      <c r="J871" s="4">
        <f>[1]Expense!I444</f>
        <v>81</v>
      </c>
      <c r="K871" s="4">
        <f>[2]Expense!K415</f>
        <v>89.43</v>
      </c>
      <c r="L871" s="4">
        <v>99.77</v>
      </c>
      <c r="M871" s="4">
        <v>99.77</v>
      </c>
      <c r="N871" s="23">
        <f>(H871-J871)/J871</f>
        <v>0.29629629629629628</v>
      </c>
      <c r="O871" s="24">
        <f>H871-J871</f>
        <v>24</v>
      </c>
    </row>
    <row r="872" spans="1:15" x14ac:dyDescent="0.25">
      <c r="A872" s="2">
        <v>25160</v>
      </c>
      <c r="B872" s="2">
        <v>52260</v>
      </c>
      <c r="C872" s="2" t="s">
        <v>38</v>
      </c>
      <c r="G872" s="3"/>
      <c r="H872" s="3">
        <v>2570</v>
      </c>
      <c r="I872" s="4">
        <f>[1]Expense!N445</f>
        <v>2244</v>
      </c>
      <c r="J872" s="4">
        <f>[1]Expense!I445</f>
        <v>2244</v>
      </c>
      <c r="K872" s="4">
        <f>[2]Expense!K416</f>
        <v>2492</v>
      </c>
      <c r="L872" s="4">
        <v>2700</v>
      </c>
      <c r="M872" s="4">
        <v>3146</v>
      </c>
      <c r="N872" s="23">
        <f>(H872-J872)/J872</f>
        <v>0.14527629233511585</v>
      </c>
      <c r="O872" s="24">
        <f>H872-J872</f>
        <v>326</v>
      </c>
    </row>
    <row r="873" spans="1:15" x14ac:dyDescent="0.25">
      <c r="A873" s="2">
        <v>25160</v>
      </c>
      <c r="B873" s="2">
        <v>56000</v>
      </c>
      <c r="C873" s="2" t="s">
        <v>604</v>
      </c>
      <c r="G873" s="3"/>
      <c r="H873" s="4">
        <v>4000</v>
      </c>
      <c r="I873" s="4">
        <f>[1]Expense!N446</f>
        <v>5000</v>
      </c>
      <c r="J873" s="4">
        <f>[1]Expense!I446</f>
        <v>4000</v>
      </c>
      <c r="K873" s="4">
        <f>[2]Expense!K417</f>
        <v>5424.43</v>
      </c>
      <c r="L873" s="4">
        <v>6258.22</v>
      </c>
      <c r="M873" s="4">
        <f>7238.55+691.8</f>
        <v>7930.35</v>
      </c>
      <c r="N873" s="23">
        <f>(H873-J873)/J873</f>
        <v>0</v>
      </c>
      <c r="O873" s="24">
        <f>H873-J873</f>
        <v>0</v>
      </c>
    </row>
    <row r="874" spans="1:15" x14ac:dyDescent="0.25">
      <c r="A874" s="2">
        <v>25160</v>
      </c>
      <c r="B874" s="2">
        <v>56100</v>
      </c>
      <c r="C874" s="2" t="s">
        <v>153</v>
      </c>
      <c r="G874" s="3"/>
      <c r="H874" s="4">
        <v>6500</v>
      </c>
      <c r="I874" s="4">
        <f>[1]Expense!N447</f>
        <v>6500</v>
      </c>
      <c r="J874" s="4">
        <f>[1]Expense!I447</f>
        <v>6500</v>
      </c>
      <c r="K874" s="4">
        <f>[2]Expense!K418</f>
        <v>7695</v>
      </c>
      <c r="L874" s="4">
        <v>9140.44</v>
      </c>
      <c r="M874" s="4">
        <v>8952.5300000000007</v>
      </c>
      <c r="N874" s="23">
        <f>(H874-J874)/J874</f>
        <v>0</v>
      </c>
      <c r="O874" s="24">
        <f>H874-J874</f>
        <v>0</v>
      </c>
    </row>
    <row r="875" spans="1:15" x14ac:dyDescent="0.25">
      <c r="A875" s="2">
        <v>25160</v>
      </c>
      <c r="B875" s="2">
        <v>56115</v>
      </c>
      <c r="C875" s="2" t="s">
        <v>565</v>
      </c>
      <c r="D875" s="2">
        <v>2</v>
      </c>
      <c r="E875" s="2">
        <v>200</v>
      </c>
      <c r="F875" s="2">
        <v>400</v>
      </c>
      <c r="G875" s="3"/>
      <c r="H875" s="4">
        <v>400</v>
      </c>
      <c r="I875" s="4">
        <f>[1]Expense!N448</f>
        <v>400</v>
      </c>
      <c r="J875" s="4">
        <f>[1]Expense!I448</f>
        <v>600</v>
      </c>
      <c r="K875" s="4">
        <f>[2]Expense!K419</f>
        <v>582.79999999999995</v>
      </c>
      <c r="L875" s="4">
        <v>599.22</v>
      </c>
      <c r="M875" s="4">
        <v>600</v>
      </c>
      <c r="N875" s="23">
        <f>(H875-J875)/J875</f>
        <v>-0.33333333333333331</v>
      </c>
      <c r="O875" s="24">
        <f>H875-J875</f>
        <v>-200</v>
      </c>
    </row>
    <row r="876" spans="1:15" x14ac:dyDescent="0.25">
      <c r="A876" s="2">
        <v>25160</v>
      </c>
      <c r="B876" s="2">
        <v>56136</v>
      </c>
      <c r="C876" s="2" t="s">
        <v>601</v>
      </c>
      <c r="G876" s="3"/>
      <c r="H876" s="4">
        <v>-3780</v>
      </c>
      <c r="I876" s="4">
        <f>[1]Expense!N449</f>
        <v>-2600</v>
      </c>
      <c r="J876" s="4">
        <f>[1]Expense!I449</f>
        <v>-3780</v>
      </c>
      <c r="K876" s="4">
        <f>[2]Expense!K420</f>
        <v>-2313.0500000000002</v>
      </c>
      <c r="L876" s="4">
        <v>-2565.6999999999998</v>
      </c>
      <c r="M876" s="4">
        <v>-2595.31</v>
      </c>
      <c r="N876" s="23">
        <f>(H876-J876)/J876</f>
        <v>0</v>
      </c>
      <c r="O876" s="24">
        <f>H876-J876</f>
        <v>0</v>
      </c>
    </row>
    <row r="877" spans="1:15" x14ac:dyDescent="0.25">
      <c r="C877" s="2" t="s">
        <v>605</v>
      </c>
      <c r="G877" s="3"/>
      <c r="I877" s="4"/>
      <c r="N877" s="23"/>
      <c r="O877" s="24">
        <f>H877-J877</f>
        <v>0</v>
      </c>
    </row>
    <row r="878" spans="1:15" s="5" customFormat="1" x14ac:dyDescent="0.25">
      <c r="A878" s="5" t="s">
        <v>23</v>
      </c>
      <c r="B878" s="5" t="s">
        <v>606</v>
      </c>
      <c r="G878" s="21">
        <f t="shared" ref="G878:M878" si="23">SUM(G860:G876)</f>
        <v>0</v>
      </c>
      <c r="H878" s="21">
        <f t="shared" si="23"/>
        <v>141914</v>
      </c>
      <c r="I878" s="22">
        <f t="shared" si="23"/>
        <v>154248</v>
      </c>
      <c r="J878" s="22">
        <f t="shared" si="23"/>
        <v>182092.3</v>
      </c>
      <c r="K878" s="22">
        <f t="shared" si="23"/>
        <v>166015.61999999997</v>
      </c>
      <c r="L878" s="22">
        <f t="shared" si="23"/>
        <v>164576.63999999998</v>
      </c>
      <c r="M878" s="22">
        <f t="shared" si="23"/>
        <v>187313</v>
      </c>
      <c r="N878" s="25">
        <f>(H878-J878)/J878</f>
        <v>-0.22064799005778932</v>
      </c>
      <c r="O878" s="26">
        <f>H878-J878</f>
        <v>-40178.299999999988</v>
      </c>
    </row>
    <row r="879" spans="1:15" x14ac:dyDescent="0.25">
      <c r="I879" s="4"/>
      <c r="K879" s="22"/>
      <c r="N879" s="23"/>
      <c r="O879" s="24">
        <f>H879-J879</f>
        <v>0</v>
      </c>
    </row>
    <row r="880" spans="1:15" s="5" customFormat="1" x14ac:dyDescent="0.25">
      <c r="A880" s="5">
        <v>25170</v>
      </c>
      <c r="B880" s="5" t="s">
        <v>607</v>
      </c>
      <c r="H880" s="21"/>
      <c r="I880" s="22"/>
      <c r="J880" s="22"/>
      <c r="K880" s="4"/>
      <c r="L880" s="22"/>
      <c r="M880" s="22"/>
      <c r="N880" s="23"/>
      <c r="O880" s="24">
        <f>H880-J880</f>
        <v>0</v>
      </c>
    </row>
    <row r="881" spans="1:15" x14ac:dyDescent="0.25">
      <c r="A881" s="2">
        <v>25170</v>
      </c>
      <c r="B881" s="2">
        <v>51100</v>
      </c>
      <c r="C881" s="2" t="s">
        <v>26</v>
      </c>
      <c r="G881" s="3"/>
      <c r="H881" s="4">
        <v>257600</v>
      </c>
      <c r="I881" s="2">
        <f>[1]Expense!N454</f>
        <v>220000</v>
      </c>
      <c r="J881" s="4">
        <f>[1]Expense!I454</f>
        <v>230250</v>
      </c>
      <c r="K881" s="4">
        <f>[2]Expense!K425</f>
        <v>219094.07</v>
      </c>
      <c r="L881" s="4">
        <f>174117.08+350</f>
        <v>174467.08</v>
      </c>
      <c r="M881" s="4">
        <f>211361.82+250</f>
        <v>211611.82</v>
      </c>
      <c r="N881" s="23">
        <f>(H881-J881)/J881</f>
        <v>0.11878393051031487</v>
      </c>
      <c r="O881" s="24">
        <f>H881-J881</f>
        <v>27350</v>
      </c>
    </row>
    <row r="882" spans="1:15" x14ac:dyDescent="0.25">
      <c r="A882" s="2">
        <v>25170</v>
      </c>
      <c r="B882" s="2">
        <v>51200</v>
      </c>
      <c r="C882" s="2" t="s">
        <v>27</v>
      </c>
      <c r="G882" s="3"/>
      <c r="H882" s="4">
        <v>34500</v>
      </c>
      <c r="I882" s="2">
        <f>[1]Expense!N455</f>
        <v>8000</v>
      </c>
      <c r="J882" s="4">
        <f>[1]Expense!I455</f>
        <v>56565</v>
      </c>
      <c r="K882" s="4">
        <f>[2]Expense!K426</f>
        <v>14281.41</v>
      </c>
      <c r="L882" s="4">
        <f>36512.16+200</f>
        <v>36712.160000000003</v>
      </c>
      <c r="M882" s="4">
        <f>29432.01+100</f>
        <v>29532.01</v>
      </c>
      <c r="N882" s="23">
        <f>(H882-J882)/J882</f>
        <v>-0.39008220631132323</v>
      </c>
      <c r="O882" s="24">
        <f>H882-J882</f>
        <v>-22065</v>
      </c>
    </row>
    <row r="883" spans="1:15" x14ac:dyDescent="0.25">
      <c r="A883" s="2">
        <v>25170</v>
      </c>
      <c r="B883" s="2">
        <v>51400</v>
      </c>
      <c r="C883" s="2" t="s">
        <v>29</v>
      </c>
      <c r="G883" s="3"/>
      <c r="H883" s="4">
        <v>10000</v>
      </c>
      <c r="I883" s="4">
        <f>[1]Expense!N456</f>
        <v>8800</v>
      </c>
      <c r="J883" s="4">
        <f>[1]Expense!I456</f>
        <v>10000</v>
      </c>
      <c r="K883" s="4">
        <f>[2]Expense!K427</f>
        <v>8492.4599999999991</v>
      </c>
      <c r="L883" s="4">
        <v>4254.5</v>
      </c>
      <c r="M883" s="4">
        <v>6068.53</v>
      </c>
      <c r="N883" s="23">
        <f>(H883-J883)/J883</f>
        <v>0</v>
      </c>
      <c r="O883" s="24">
        <f>H883-J883</f>
        <v>0</v>
      </c>
    </row>
    <row r="884" spans="1:15" x14ac:dyDescent="0.25">
      <c r="A884" s="2">
        <v>25170</v>
      </c>
      <c r="B884" s="2">
        <v>51500</v>
      </c>
      <c r="C884" s="2" t="s">
        <v>245</v>
      </c>
      <c r="G884" s="3"/>
      <c r="H884" s="4">
        <v>2776</v>
      </c>
      <c r="I884" s="4">
        <f>[1]Expense!N457</f>
        <v>5000</v>
      </c>
      <c r="J884" s="4">
        <f>[1]Expense!I457</f>
        <v>6000</v>
      </c>
      <c r="K884" s="4">
        <f>[2]Expense!K428</f>
        <v>4124.84</v>
      </c>
      <c r="L884" s="4">
        <v>0</v>
      </c>
      <c r="M884" s="4">
        <v>0</v>
      </c>
      <c r="N884" s="23">
        <f>(H884-J884)/J884</f>
        <v>-0.53733333333333333</v>
      </c>
      <c r="O884" s="24">
        <f>H884-J884</f>
        <v>-3224</v>
      </c>
    </row>
    <row r="885" spans="1:15" x14ac:dyDescent="0.25">
      <c r="A885" s="2">
        <v>25170</v>
      </c>
      <c r="B885" s="2">
        <v>51510</v>
      </c>
      <c r="C885" s="2" t="s">
        <v>31</v>
      </c>
      <c r="G885" s="3"/>
      <c r="H885" s="4"/>
      <c r="I885" s="4">
        <f>[1]Expense!N458</f>
        <v>552</v>
      </c>
      <c r="J885" s="4">
        <f>[1]Expense!I458</f>
        <v>552</v>
      </c>
      <c r="L885" s="4">
        <v>493.44</v>
      </c>
      <c r="M885" s="4">
        <v>1481.04</v>
      </c>
      <c r="N885" s="23">
        <f>(H885-J885)/J885</f>
        <v>-1</v>
      </c>
      <c r="O885" s="24">
        <f>H885-J885</f>
        <v>-552</v>
      </c>
    </row>
    <row r="886" spans="1:15" x14ac:dyDescent="0.25">
      <c r="A886" s="2">
        <v>25170</v>
      </c>
      <c r="B886" s="2">
        <v>51520</v>
      </c>
      <c r="C886" s="2" t="s">
        <v>32</v>
      </c>
      <c r="G886" s="3"/>
      <c r="H886" s="4">
        <v>300</v>
      </c>
      <c r="I886" s="4">
        <f>[1]Expense!N459</f>
        <v>0</v>
      </c>
      <c r="J886" s="4">
        <f>[1]Expense!I459</f>
        <v>950</v>
      </c>
      <c r="K886" s="4">
        <f>[2]Expense!K429</f>
        <v>930</v>
      </c>
      <c r="L886" s="4">
        <v>830</v>
      </c>
      <c r="M886" s="4">
        <v>550</v>
      </c>
      <c r="N886" s="23">
        <f>(H886-J886)/J886</f>
        <v>-0.68421052631578949</v>
      </c>
      <c r="O886" s="24">
        <f>H886-J886</f>
        <v>-650</v>
      </c>
    </row>
    <row r="887" spans="1:15" x14ac:dyDescent="0.25">
      <c r="A887" s="2">
        <v>25170</v>
      </c>
      <c r="B887" s="2">
        <v>52100</v>
      </c>
      <c r="C887" s="2" t="s">
        <v>33</v>
      </c>
      <c r="H887" s="3">
        <v>116300</v>
      </c>
      <c r="I887" s="4">
        <f>[1]Expense!N460</f>
        <v>81300</v>
      </c>
      <c r="J887" s="4">
        <f>[1]Expense!I460</f>
        <v>81300</v>
      </c>
      <c r="K887" s="4">
        <f>[2]Expense!K430</f>
        <v>83793.240000000005</v>
      </c>
      <c r="L887" s="4">
        <f>83809.88+166.43</f>
        <v>83976.31</v>
      </c>
      <c r="M887" s="4">
        <f>88425.01+104.01</f>
        <v>88529.01999999999</v>
      </c>
      <c r="N887" s="23">
        <f>(H887-J887)/J887</f>
        <v>0.43050430504305043</v>
      </c>
      <c r="O887" s="24">
        <f>H887-J887</f>
        <v>35000</v>
      </c>
    </row>
    <row r="888" spans="1:15" x14ac:dyDescent="0.25">
      <c r="C888" s="2" t="s">
        <v>536</v>
      </c>
      <c r="F888" s="2">
        <v>113300</v>
      </c>
      <c r="I888" s="4"/>
      <c r="N888" s="23"/>
      <c r="O888" s="24">
        <f>H888-J888</f>
        <v>0</v>
      </c>
    </row>
    <row r="889" spans="1:15" x14ac:dyDescent="0.25">
      <c r="C889" s="2" t="s">
        <v>537</v>
      </c>
      <c r="D889" s="2">
        <v>6</v>
      </c>
      <c r="E889" s="2">
        <v>500</v>
      </c>
      <c r="F889" s="2">
        <v>3000</v>
      </c>
      <c r="I889" s="4"/>
      <c r="N889" s="23"/>
      <c r="O889" s="24">
        <f>H889-J889</f>
        <v>0</v>
      </c>
    </row>
    <row r="890" spans="1:15" x14ac:dyDescent="0.25">
      <c r="A890" s="2">
        <v>25170</v>
      </c>
      <c r="B890" s="2">
        <v>52140</v>
      </c>
      <c r="C890" s="2" t="s">
        <v>34</v>
      </c>
      <c r="H890" s="3">
        <v>1169</v>
      </c>
      <c r="I890" s="4">
        <f>[1]Expense!N461</f>
        <v>120</v>
      </c>
      <c r="J890" s="4">
        <f>[1]Expense!I461</f>
        <v>495</v>
      </c>
      <c r="N890" s="23">
        <f>(H890-J890)/J890</f>
        <v>1.3616161616161617</v>
      </c>
      <c r="O890" s="24">
        <f>H890-J890</f>
        <v>674</v>
      </c>
    </row>
    <row r="891" spans="1:15" x14ac:dyDescent="0.25">
      <c r="A891" s="2">
        <v>25170</v>
      </c>
      <c r="B891" s="2">
        <v>52200</v>
      </c>
      <c r="C891" s="2" t="s">
        <v>35</v>
      </c>
      <c r="G891" s="3"/>
      <c r="H891" s="4">
        <v>23600</v>
      </c>
      <c r="I891" s="4">
        <f>[1]Expense!N462</f>
        <v>17000</v>
      </c>
      <c r="J891" s="4">
        <f>[1]Expense!I462</f>
        <v>21240</v>
      </c>
      <c r="K891" s="4">
        <f>[2]Expense!K431</f>
        <v>17957.13</v>
      </c>
      <c r="L891" s="4">
        <f>16192.92+178.79</f>
        <v>16371.710000000001</v>
      </c>
      <c r="M891" s="4">
        <f>18704.75+2688.53</f>
        <v>21393.279999999999</v>
      </c>
      <c r="N891" s="23">
        <f>(H891-J891)/J891</f>
        <v>0.1111111111111111</v>
      </c>
      <c r="O891" s="24">
        <f>H891-J891</f>
        <v>2360</v>
      </c>
    </row>
    <row r="892" spans="1:15" x14ac:dyDescent="0.25">
      <c r="A892" s="2">
        <v>25170</v>
      </c>
      <c r="B892" s="2">
        <v>52230</v>
      </c>
      <c r="C892" s="2" t="s">
        <v>36</v>
      </c>
      <c r="G892" s="3"/>
      <c r="H892" s="4">
        <v>38800</v>
      </c>
      <c r="I892" s="4">
        <f>[1]Expense!N463</f>
        <v>35000</v>
      </c>
      <c r="J892" s="4">
        <f>[1]Expense!I463</f>
        <v>33200</v>
      </c>
      <c r="K892" s="4">
        <f>[2]Expense!K432</f>
        <v>32135.24</v>
      </c>
      <c r="L892" s="4">
        <f>23207.61+39.09</f>
        <v>23246.7</v>
      </c>
      <c r="M892" s="4">
        <f>21409.82+27.92</f>
        <v>21437.739999999998</v>
      </c>
      <c r="N892" s="23">
        <f>(H892-J892)/J892</f>
        <v>0.16867469879518071</v>
      </c>
      <c r="O892" s="24">
        <f>H892-J892</f>
        <v>5600</v>
      </c>
    </row>
    <row r="893" spans="1:15" x14ac:dyDescent="0.25">
      <c r="A893" s="2">
        <v>25170</v>
      </c>
      <c r="B893" s="2">
        <v>52250</v>
      </c>
      <c r="C893" s="2" t="s">
        <v>37</v>
      </c>
      <c r="G893" s="3"/>
      <c r="H893" s="3">
        <v>235</v>
      </c>
      <c r="I893" s="4">
        <f>[1]Expense!N464</f>
        <v>188</v>
      </c>
      <c r="J893" s="4">
        <f>[1]Expense!I464</f>
        <v>188</v>
      </c>
      <c r="K893" s="4">
        <f>[2]Expense!K433</f>
        <v>268.3</v>
      </c>
      <c r="L893" s="4">
        <v>299.3</v>
      </c>
      <c r="M893" s="4">
        <v>299.3</v>
      </c>
      <c r="N893" s="23">
        <f>(H893-J893)/J893</f>
        <v>0.25</v>
      </c>
      <c r="O893" s="24">
        <f>H893-J893</f>
        <v>47</v>
      </c>
    </row>
    <row r="894" spans="1:15" x14ac:dyDescent="0.25">
      <c r="A894" s="2">
        <v>25170</v>
      </c>
      <c r="B894" s="2">
        <v>52260</v>
      </c>
      <c r="C894" s="2" t="s">
        <v>38</v>
      </c>
      <c r="G894" s="3"/>
      <c r="H894" s="3">
        <v>5158</v>
      </c>
      <c r="I894" s="4">
        <f>[1]Expense!N465</f>
        <v>7765</v>
      </c>
      <c r="J894" s="4">
        <f>[1]Expense!I465</f>
        <v>7765</v>
      </c>
      <c r="K894" s="4">
        <f>[2]Expense!K434</f>
        <v>10289</v>
      </c>
      <c r="L894" s="4">
        <v>8094</v>
      </c>
      <c r="M894" s="4">
        <v>9432</v>
      </c>
      <c r="N894" s="23">
        <f>(H894-J894)/J894</f>
        <v>-0.33573728267868641</v>
      </c>
      <c r="O894" s="24">
        <f>H894-J894</f>
        <v>-2607</v>
      </c>
    </row>
    <row r="895" spans="1:15" x14ac:dyDescent="0.25">
      <c r="A895" s="2">
        <v>25170</v>
      </c>
      <c r="B895" s="2">
        <v>56100</v>
      </c>
      <c r="C895" s="2" t="s">
        <v>153</v>
      </c>
      <c r="G895" s="3"/>
      <c r="H895" s="4">
        <v>25000</v>
      </c>
      <c r="I895" s="2">
        <f>[1]Expense!N466</f>
        <v>20000</v>
      </c>
      <c r="J895" s="4">
        <f>[1]Expense!I466</f>
        <v>20000</v>
      </c>
      <c r="K895" s="4">
        <f>[2]Expense!K435</f>
        <v>12763.34</v>
      </c>
      <c r="L895" s="4">
        <f>23268.81+510.44</f>
        <v>23779.25</v>
      </c>
      <c r="M895" s="4">
        <f>15766.13+10591.2</f>
        <v>26357.33</v>
      </c>
      <c r="N895" s="23">
        <f>(H895-J895)/J895</f>
        <v>0.25</v>
      </c>
      <c r="O895" s="24">
        <f>H895-J895</f>
        <v>5000</v>
      </c>
    </row>
    <row r="896" spans="1:15" x14ac:dyDescent="0.25">
      <c r="A896" s="2">
        <v>25170</v>
      </c>
      <c r="B896" s="2">
        <v>56115</v>
      </c>
      <c r="C896" s="2" t="s">
        <v>565</v>
      </c>
      <c r="D896" s="2">
        <v>5</v>
      </c>
      <c r="E896" s="2">
        <v>200</v>
      </c>
      <c r="F896" s="2">
        <v>1000</v>
      </c>
      <c r="G896" s="3"/>
      <c r="H896" s="4">
        <v>1000</v>
      </c>
      <c r="I896" s="2">
        <f>[1]Expense!N467</f>
        <v>400</v>
      </c>
      <c r="J896" s="4">
        <f>[1]Expense!I467</f>
        <v>800</v>
      </c>
      <c r="K896" s="4">
        <f>[2]Expense!K436</f>
        <v>400</v>
      </c>
      <c r="L896" s="4">
        <v>400</v>
      </c>
      <c r="M896" s="4">
        <v>495.92</v>
      </c>
      <c r="N896" s="23">
        <f>(H896-J896)/J896</f>
        <v>0.25</v>
      </c>
      <c r="O896" s="24">
        <f>H896-J896</f>
        <v>200</v>
      </c>
    </row>
    <row r="897" spans="1:15" s="5" customFormat="1" x14ac:dyDescent="0.25">
      <c r="A897" s="5" t="s">
        <v>23</v>
      </c>
      <c r="B897" s="5" t="s">
        <v>608</v>
      </c>
      <c r="G897" s="21">
        <f t="shared" ref="G897:M897" si="24">SUM(G881:G896)</f>
        <v>0</v>
      </c>
      <c r="H897" s="21">
        <f t="shared" si="24"/>
        <v>516438</v>
      </c>
      <c r="I897" s="22">
        <f t="shared" si="24"/>
        <v>404125</v>
      </c>
      <c r="J897" s="22">
        <f t="shared" si="24"/>
        <v>469305</v>
      </c>
      <c r="K897" s="22">
        <f t="shared" si="24"/>
        <v>404529.03</v>
      </c>
      <c r="L897" s="22">
        <f t="shared" si="24"/>
        <v>372924.45</v>
      </c>
      <c r="M897" s="22">
        <f t="shared" si="24"/>
        <v>417187.99000000005</v>
      </c>
      <c r="N897" s="25">
        <f>(H897-J897)/J897</f>
        <v>0.10043148911688561</v>
      </c>
      <c r="O897" s="26">
        <f>H897-J897</f>
        <v>47133</v>
      </c>
    </row>
    <row r="898" spans="1:15" x14ac:dyDescent="0.25">
      <c r="I898" s="4"/>
      <c r="K898" s="22"/>
      <c r="N898" s="23"/>
      <c r="O898" s="24">
        <f>H898-J898</f>
        <v>0</v>
      </c>
    </row>
    <row r="899" spans="1:15" s="5" customFormat="1" x14ac:dyDescent="0.25">
      <c r="A899" s="5">
        <v>25180</v>
      </c>
      <c r="B899" s="5" t="s">
        <v>609</v>
      </c>
      <c r="H899" s="21"/>
      <c r="I899" s="4"/>
      <c r="J899" s="4"/>
      <c r="K899" s="4"/>
      <c r="L899" s="22"/>
      <c r="M899" s="22"/>
      <c r="N899" s="23"/>
      <c r="O899" s="24">
        <f>H899-J899</f>
        <v>0</v>
      </c>
    </row>
    <row r="900" spans="1:15" s="5" customFormat="1" x14ac:dyDescent="0.25">
      <c r="A900" s="32" t="s">
        <v>610</v>
      </c>
      <c r="B900" s="2">
        <v>56049</v>
      </c>
      <c r="C900" s="2" t="s">
        <v>611</v>
      </c>
      <c r="D900" s="2"/>
      <c r="E900" s="2"/>
      <c r="F900" s="2"/>
      <c r="H900" s="21"/>
      <c r="I900" s="4">
        <f>[1]Expense!N471</f>
        <v>0</v>
      </c>
      <c r="J900" s="4">
        <f>[1]Expense!I471</f>
        <v>0</v>
      </c>
      <c r="K900" s="4"/>
      <c r="L900" s="22"/>
      <c r="M900" s="22"/>
      <c r="N900" s="23"/>
      <c r="O900" s="24">
        <f>H900-J900</f>
        <v>0</v>
      </c>
    </row>
    <row r="901" spans="1:15" x14ac:dyDescent="0.25">
      <c r="A901" s="2">
        <v>25180</v>
      </c>
      <c r="B901" s="2">
        <v>56050</v>
      </c>
      <c r="C901" s="2" t="s">
        <v>612</v>
      </c>
      <c r="G901" s="3"/>
      <c r="H901" s="4">
        <v>21600</v>
      </c>
      <c r="I901" s="4">
        <f>[1]Expense!N472</f>
        <v>18000</v>
      </c>
      <c r="J901" s="4">
        <f>[1]Expense!I472</f>
        <v>21600</v>
      </c>
      <c r="K901" s="4">
        <f>[2]Expense!K440</f>
        <v>18000</v>
      </c>
      <c r="L901" s="4">
        <v>18000</v>
      </c>
      <c r="M901" s="4">
        <v>18000</v>
      </c>
      <c r="N901" s="23">
        <f>(H901-J901)/J901</f>
        <v>0</v>
      </c>
      <c r="O901" s="24">
        <f>H901-J901</f>
        <v>0</v>
      </c>
    </row>
    <row r="902" spans="1:15" x14ac:dyDescent="0.25">
      <c r="C902" s="2" t="s">
        <v>613</v>
      </c>
      <c r="D902" s="2">
        <v>12</v>
      </c>
      <c r="E902" s="2">
        <v>1500</v>
      </c>
      <c r="F902" s="2">
        <f>D902*E902</f>
        <v>18000</v>
      </c>
      <c r="G902" s="3"/>
      <c r="H902" s="4"/>
      <c r="I902" s="4"/>
      <c r="N902" s="23"/>
      <c r="O902" s="24">
        <f>H902-J902</f>
        <v>0</v>
      </c>
    </row>
    <row r="903" spans="1:15" x14ac:dyDescent="0.25">
      <c r="C903" s="2" t="s">
        <v>614</v>
      </c>
      <c r="D903" s="2">
        <v>12</v>
      </c>
      <c r="E903" s="2">
        <v>300</v>
      </c>
      <c r="F903" s="2">
        <f>D903*E903</f>
        <v>3600</v>
      </c>
      <c r="G903" s="3"/>
      <c r="H903" s="4"/>
      <c r="I903" s="4"/>
      <c r="N903" s="23"/>
      <c r="O903" s="24">
        <f>H903-J903</f>
        <v>0</v>
      </c>
    </row>
    <row r="904" spans="1:15" x14ac:dyDescent="0.25">
      <c r="A904" s="2">
        <v>25180</v>
      </c>
      <c r="B904" s="2">
        <v>56051</v>
      </c>
      <c r="C904" s="2" t="s">
        <v>615</v>
      </c>
      <c r="D904" s="2">
        <v>12</v>
      </c>
      <c r="E904" s="2">
        <v>1000</v>
      </c>
      <c r="F904" s="2">
        <v>12000</v>
      </c>
      <c r="G904" s="3"/>
      <c r="H904" s="4">
        <v>12000</v>
      </c>
      <c r="I904" s="4">
        <f>[1]Expense!N473</f>
        <v>10425</v>
      </c>
      <c r="J904" s="4">
        <f>[1]Expense!I473</f>
        <v>12000</v>
      </c>
      <c r="K904" s="4">
        <f>[2]Expense!K441</f>
        <v>9117.9500000000007</v>
      </c>
      <c r="L904" s="4">
        <v>8706.4</v>
      </c>
      <c r="M904" s="4">
        <v>9738.27</v>
      </c>
      <c r="N904" s="23">
        <f>(H904-J904)/J904</f>
        <v>0</v>
      </c>
      <c r="O904" s="24">
        <f>H904-J904</f>
        <v>0</v>
      </c>
    </row>
    <row r="905" spans="1:15" x14ac:dyDescent="0.25">
      <c r="A905" s="2">
        <v>25180</v>
      </c>
      <c r="B905" s="2">
        <v>56052</v>
      </c>
      <c r="C905" s="2" t="s">
        <v>616</v>
      </c>
      <c r="G905" s="3"/>
      <c r="H905" s="4">
        <v>9500</v>
      </c>
      <c r="I905" s="4">
        <f>[1]Expense!N474</f>
        <v>15000</v>
      </c>
      <c r="J905" s="4">
        <f>[1]Expense!I474</f>
        <v>9000</v>
      </c>
      <c r="K905" s="4">
        <f>[2]Expense!K442</f>
        <v>8826</v>
      </c>
      <c r="L905" s="4">
        <v>9896.32</v>
      </c>
      <c r="M905" s="4">
        <v>9002.2099999999991</v>
      </c>
      <c r="N905" s="23">
        <f>(H905-J905)/J905</f>
        <v>5.5555555555555552E-2</v>
      </c>
      <c r="O905" s="24">
        <f>H905-J905</f>
        <v>500</v>
      </c>
    </row>
    <row r="906" spans="1:15" x14ac:dyDescent="0.25">
      <c r="C906" s="2" t="s">
        <v>617</v>
      </c>
      <c r="G906" s="3"/>
      <c r="H906" s="4"/>
      <c r="I906" s="4"/>
      <c r="N906" s="23"/>
      <c r="O906" s="24">
        <f>H906-J906</f>
        <v>0</v>
      </c>
    </row>
    <row r="907" spans="1:15" x14ac:dyDescent="0.25">
      <c r="A907" s="2">
        <v>25180</v>
      </c>
      <c r="B907" s="2">
        <v>56053</v>
      </c>
      <c r="C907" s="2" t="s">
        <v>618</v>
      </c>
      <c r="G907" s="3"/>
      <c r="H907" s="4">
        <v>23000</v>
      </c>
      <c r="I907" s="4">
        <f>[1]Expense!N475</f>
        <v>17400</v>
      </c>
      <c r="J907" s="4">
        <f>[1]Expense!I475</f>
        <v>23000</v>
      </c>
      <c r="K907" s="4">
        <f>[2]Expense!K443</f>
        <v>17400</v>
      </c>
      <c r="L907" s="4">
        <v>17400</v>
      </c>
      <c r="M907" s="4">
        <v>13050</v>
      </c>
      <c r="N907" s="23">
        <f>(H907-J907)/J907</f>
        <v>0</v>
      </c>
      <c r="O907" s="24">
        <f>H907-J907</f>
        <v>0</v>
      </c>
    </row>
    <row r="908" spans="1:15" x14ac:dyDescent="0.25">
      <c r="C908" s="2" t="s">
        <v>619</v>
      </c>
      <c r="D908" s="2">
        <v>12</v>
      </c>
      <c r="E908" s="2">
        <v>1500</v>
      </c>
      <c r="F908" s="2">
        <v>18000</v>
      </c>
      <c r="G908" s="3"/>
      <c r="H908" s="4"/>
      <c r="I908" s="4"/>
      <c r="N908" s="23"/>
      <c r="O908" s="24">
        <f>H908-J908</f>
        <v>0</v>
      </c>
    </row>
    <row r="909" spans="1:15" x14ac:dyDescent="0.25">
      <c r="C909" s="2" t="s">
        <v>620</v>
      </c>
      <c r="F909" s="2">
        <v>5000</v>
      </c>
      <c r="G909" s="3"/>
      <c r="H909" s="4"/>
      <c r="I909" s="4"/>
      <c r="N909" s="23"/>
      <c r="O909" s="24">
        <f>H909-J909</f>
        <v>0</v>
      </c>
    </row>
    <row r="910" spans="1:15" x14ac:dyDescent="0.25">
      <c r="A910" s="2">
        <v>25180</v>
      </c>
      <c r="B910" s="2">
        <v>56054</v>
      </c>
      <c r="C910" s="2" t="s">
        <v>621</v>
      </c>
      <c r="G910" s="3"/>
      <c r="H910" s="4">
        <v>175000</v>
      </c>
      <c r="I910" s="4">
        <f>[1]Expense!N476</f>
        <v>175000</v>
      </c>
      <c r="J910" s="4">
        <f>[1]Expense!I476</f>
        <v>150000</v>
      </c>
      <c r="K910" s="4">
        <f>[2]Expense!K444</f>
        <v>116318.49</v>
      </c>
      <c r="L910" s="4">
        <v>90844.05</v>
      </c>
      <c r="M910" s="4">
        <v>190835.46</v>
      </c>
      <c r="N910" s="23">
        <f>(H910-J910)/J910</f>
        <v>0.16666666666666666</v>
      </c>
      <c r="O910" s="24">
        <f>H910-J910</f>
        <v>25000</v>
      </c>
    </row>
    <row r="911" spans="1:15" x14ac:dyDescent="0.25">
      <c r="C911" s="2" t="s">
        <v>622</v>
      </c>
      <c r="G911" s="3"/>
      <c r="H911" s="4"/>
      <c r="I911" s="4"/>
      <c r="N911" s="23"/>
      <c r="O911" s="24">
        <f>H911-J911</f>
        <v>0</v>
      </c>
    </row>
    <row r="912" spans="1:15" x14ac:dyDescent="0.25">
      <c r="A912" s="2">
        <v>25180</v>
      </c>
      <c r="B912" s="2">
        <v>56061</v>
      </c>
      <c r="C912" s="2" t="s">
        <v>623</v>
      </c>
      <c r="G912" s="3"/>
      <c r="H912" s="4">
        <v>190000</v>
      </c>
      <c r="I912" s="4">
        <f>[1]Expense!N477</f>
        <v>204000</v>
      </c>
      <c r="J912" s="4">
        <f>[1]Expense!I477</f>
        <v>300000</v>
      </c>
      <c r="K912" s="4">
        <f>[2]Expense!K445</f>
        <v>337371.89</v>
      </c>
      <c r="L912" s="4">
        <v>573407.06999999995</v>
      </c>
      <c r="M912" s="4">
        <v>663959.93999999994</v>
      </c>
      <c r="N912" s="23">
        <f>(H912-J912)/J912</f>
        <v>-0.36666666666666664</v>
      </c>
      <c r="O912" s="24">
        <f>H912-J912</f>
        <v>-110000</v>
      </c>
    </row>
    <row r="913" spans="1:15" x14ac:dyDescent="0.25">
      <c r="C913" s="2" t="s">
        <v>624</v>
      </c>
      <c r="G913" s="3"/>
      <c r="H913" s="4"/>
      <c r="I913" s="4"/>
      <c r="N913" s="23"/>
      <c r="O913" s="24">
        <f>H913-J913</f>
        <v>0</v>
      </c>
    </row>
    <row r="914" spans="1:15" x14ac:dyDescent="0.25">
      <c r="A914" s="2">
        <v>25180</v>
      </c>
      <c r="B914" s="2">
        <v>56130</v>
      </c>
      <c r="C914" s="2" t="s">
        <v>625</v>
      </c>
      <c r="G914" s="3"/>
      <c r="H914" s="4">
        <v>1000</v>
      </c>
      <c r="I914" s="4">
        <f>[1]Expense!N478</f>
        <v>0</v>
      </c>
      <c r="J914" s="4">
        <f>[1]Expense!I478</f>
        <v>1000</v>
      </c>
      <c r="K914" s="4">
        <f>[2]Expense!K446</f>
        <v>0</v>
      </c>
      <c r="L914" s="4">
        <v>502.06</v>
      </c>
      <c r="M914" s="4">
        <v>0</v>
      </c>
      <c r="N914" s="23">
        <f>(H914-J914)/J914</f>
        <v>0</v>
      </c>
      <c r="O914" s="24">
        <f>H914-J914</f>
        <v>0</v>
      </c>
    </row>
    <row r="915" spans="1:15" x14ac:dyDescent="0.25">
      <c r="A915" s="2">
        <v>25180</v>
      </c>
      <c r="B915" s="2">
        <v>56131</v>
      </c>
      <c r="C915" s="2" t="s">
        <v>626</v>
      </c>
      <c r="G915" s="3"/>
      <c r="H915" s="4">
        <v>6500</v>
      </c>
      <c r="I915" s="4">
        <f>[1]Expense!N479</f>
        <v>0</v>
      </c>
      <c r="J915" s="4">
        <f>[1]Expense!I479</f>
        <v>6500</v>
      </c>
      <c r="K915" s="4">
        <f>[2]Expense!K447</f>
        <v>0</v>
      </c>
      <c r="L915" s="4">
        <v>85105</v>
      </c>
      <c r="M915" s="4">
        <v>14800</v>
      </c>
      <c r="N915" s="23">
        <f>(H915-J915)/J915</f>
        <v>0</v>
      </c>
      <c r="O915" s="24">
        <f>H915-J915</f>
        <v>0</v>
      </c>
    </row>
    <row r="916" spans="1:15" s="5" customFormat="1" x14ac:dyDescent="0.25">
      <c r="A916" s="5" t="s">
        <v>23</v>
      </c>
      <c r="B916" s="5" t="s">
        <v>627</v>
      </c>
      <c r="G916" s="21">
        <f>SUM(G901:G915)</f>
        <v>0</v>
      </c>
      <c r="H916" s="21">
        <f>SUM(H901:H915)</f>
        <v>438600</v>
      </c>
      <c r="I916" s="22">
        <f>SUM(I900:I915)</f>
        <v>439825</v>
      </c>
      <c r="J916" s="22">
        <f>SUM(J900:J915)</f>
        <v>523100</v>
      </c>
      <c r="K916" s="22">
        <f>SUM(K901:K915)</f>
        <v>507034.33</v>
      </c>
      <c r="L916" s="22">
        <f>SUM(L901:L915)</f>
        <v>803860.9</v>
      </c>
      <c r="M916" s="22">
        <f>SUM(M901:M915)</f>
        <v>919385.87999999989</v>
      </c>
      <c r="N916" s="25">
        <f>(H916-J916)/J916</f>
        <v>-0.16153699101510227</v>
      </c>
      <c r="O916" s="26">
        <f>H916-J916</f>
        <v>-84500</v>
      </c>
    </row>
    <row r="917" spans="1:15" x14ac:dyDescent="0.25">
      <c r="I917" s="22"/>
      <c r="J917" s="22"/>
      <c r="K917" s="22"/>
      <c r="N917" s="23"/>
      <c r="O917" s="24">
        <f>H917-J917</f>
        <v>0</v>
      </c>
    </row>
    <row r="918" spans="1:15" s="5" customFormat="1" x14ac:dyDescent="0.25">
      <c r="A918" s="5">
        <v>25193</v>
      </c>
      <c r="B918" s="5" t="s">
        <v>628</v>
      </c>
      <c r="H918" s="21"/>
      <c r="I918" s="2"/>
      <c r="J918" s="4"/>
      <c r="K918" s="4"/>
      <c r="L918" s="22"/>
      <c r="M918" s="22"/>
      <c r="N918" s="23"/>
      <c r="O918" s="24">
        <f>H918-J918</f>
        <v>0</v>
      </c>
    </row>
    <row r="919" spans="1:15" x14ac:dyDescent="0.25">
      <c r="A919" s="2">
        <v>25193</v>
      </c>
      <c r="B919" s="2">
        <v>51100</v>
      </c>
      <c r="C919" s="2" t="s">
        <v>26</v>
      </c>
      <c r="G919" s="3"/>
      <c r="H919" s="4">
        <v>281900</v>
      </c>
      <c r="I919" s="2">
        <f>[1]Expense!N483</f>
        <v>250000</v>
      </c>
      <c r="J919" s="4">
        <f>[1]Expense!I483</f>
        <v>260100</v>
      </c>
      <c r="K919" s="4">
        <f>[2]Expense!K451</f>
        <v>228206.87</v>
      </c>
      <c r="L919" s="4">
        <f>173829.84+400</f>
        <v>174229.84</v>
      </c>
      <c r="M919" s="4">
        <f>142278.87+1613.12</f>
        <v>143891.99</v>
      </c>
      <c r="N919" s="23">
        <f>(H919-J919)/J919</f>
        <v>8.381391772395233E-2</v>
      </c>
      <c r="O919" s="24">
        <f>H919-J919</f>
        <v>21800</v>
      </c>
    </row>
    <row r="920" spans="1:15" x14ac:dyDescent="0.25">
      <c r="A920" s="2">
        <v>25193</v>
      </c>
      <c r="B920" s="2">
        <v>51400</v>
      </c>
      <c r="C920" s="2" t="s">
        <v>29</v>
      </c>
      <c r="G920" s="3"/>
      <c r="H920" s="4">
        <v>1000</v>
      </c>
      <c r="I920" s="4">
        <f>[1]Expense!N484</f>
        <v>1500</v>
      </c>
      <c r="J920" s="4">
        <f>[1]Expense!I484</f>
        <v>1000</v>
      </c>
      <c r="K920" s="4">
        <f>[2]Expense!K452</f>
        <v>2402.17</v>
      </c>
      <c r="L920" s="4">
        <v>912.68</v>
      </c>
      <c r="M920" s="4">
        <v>670.47</v>
      </c>
      <c r="N920" s="23">
        <f>(H920-J920)/J920</f>
        <v>0</v>
      </c>
      <c r="O920" s="24">
        <f>H920-J920</f>
        <v>0</v>
      </c>
    </row>
    <row r="921" spans="1:15" x14ac:dyDescent="0.25">
      <c r="A921" s="2">
        <v>25193</v>
      </c>
      <c r="B921" s="2">
        <v>51500</v>
      </c>
      <c r="C921" s="2" t="s">
        <v>245</v>
      </c>
      <c r="G921" s="3"/>
      <c r="H921" s="4">
        <v>15650</v>
      </c>
      <c r="I921" s="4">
        <f>[1]Expense!N485</f>
        <v>13550</v>
      </c>
      <c r="J921" s="4">
        <f>[1]Expense!I485</f>
        <v>4500</v>
      </c>
      <c r="K921" s="4">
        <f>[2]Expense!K453</f>
        <v>4696.2</v>
      </c>
      <c r="L921" s="4">
        <v>403.87</v>
      </c>
      <c r="M921" s="4">
        <v>952.05</v>
      </c>
      <c r="N921" s="23">
        <f>(H921-J921)/J921</f>
        <v>2.4777777777777779</v>
      </c>
      <c r="O921" s="24">
        <f>H921-J921</f>
        <v>11150</v>
      </c>
    </row>
    <row r="922" spans="1:15" x14ac:dyDescent="0.25">
      <c r="A922" s="2">
        <v>25193</v>
      </c>
      <c r="B922" s="2">
        <v>51510</v>
      </c>
      <c r="C922" s="2" t="s">
        <v>31</v>
      </c>
      <c r="G922" s="3"/>
      <c r="H922" s="4"/>
      <c r="I922" s="4">
        <f>[1]Expense!N486</f>
        <v>0</v>
      </c>
      <c r="J922" s="4">
        <f>[1]Expense!I486</f>
        <v>0</v>
      </c>
      <c r="L922" s="4">
        <v>589.05999999999995</v>
      </c>
      <c r="M922" s="4">
        <v>917.92</v>
      </c>
      <c r="N922" s="23"/>
      <c r="O922" s="24">
        <f>H922-J922</f>
        <v>0</v>
      </c>
    </row>
    <row r="923" spans="1:15" x14ac:dyDescent="0.25">
      <c r="A923" s="2">
        <v>25193</v>
      </c>
      <c r="B923" s="2">
        <v>51520</v>
      </c>
      <c r="C923" s="2" t="s">
        <v>32</v>
      </c>
      <c r="G923" s="3"/>
      <c r="H923" s="4">
        <v>1850</v>
      </c>
      <c r="I923" s="4">
        <f>[1]Expense!N487</f>
        <v>1300</v>
      </c>
      <c r="J923" s="4">
        <f>[1]Expense!I487</f>
        <v>1300</v>
      </c>
      <c r="K923" s="4">
        <f>[2]Expense!K454</f>
        <v>1280</v>
      </c>
      <c r="L923" s="4">
        <v>1280</v>
      </c>
      <c r="M923" s="4">
        <v>1180</v>
      </c>
      <c r="N923" s="23">
        <f>(H923-J923)/J923</f>
        <v>0.42307692307692307</v>
      </c>
      <c r="O923" s="24">
        <f>H923-J923</f>
        <v>550</v>
      </c>
    </row>
    <row r="924" spans="1:15" x14ac:dyDescent="0.25">
      <c r="A924" s="2">
        <v>25193</v>
      </c>
      <c r="B924" s="2">
        <v>52100</v>
      </c>
      <c r="C924" s="2" t="s">
        <v>33</v>
      </c>
      <c r="H924" s="4">
        <v>95500</v>
      </c>
      <c r="I924" s="4">
        <f>[1]Expense!N488</f>
        <v>79267</v>
      </c>
      <c r="J924" s="4">
        <f>[1]Expense!I488</f>
        <v>91900</v>
      </c>
      <c r="K924" s="4">
        <f>[2]Expense!K455</f>
        <v>90664.3</v>
      </c>
      <c r="L924" s="4">
        <f>83163.49+188.24</f>
        <v>83351.73000000001</v>
      </c>
      <c r="M924" s="4">
        <f>74570.88+145.99</f>
        <v>74716.87000000001</v>
      </c>
      <c r="N924" s="23">
        <f>(H924-J924)/J924</f>
        <v>3.9173014145810661E-2</v>
      </c>
      <c r="O924" s="24">
        <f>H924-J924</f>
        <v>3600</v>
      </c>
    </row>
    <row r="925" spans="1:15" x14ac:dyDescent="0.25">
      <c r="C925" s="2" t="s">
        <v>536</v>
      </c>
      <c r="F925" s="2">
        <v>93500</v>
      </c>
      <c r="H925" s="4"/>
      <c r="I925" s="4"/>
      <c r="N925" s="23"/>
      <c r="O925" s="24">
        <f>H925-J925</f>
        <v>0</v>
      </c>
    </row>
    <row r="926" spans="1:15" x14ac:dyDescent="0.25">
      <c r="C926" s="2" t="s">
        <v>537</v>
      </c>
      <c r="D926" s="2">
        <v>4</v>
      </c>
      <c r="E926" s="2">
        <v>500</v>
      </c>
      <c r="F926" s="2">
        <v>2000</v>
      </c>
      <c r="H926" s="4"/>
      <c r="I926" s="4"/>
      <c r="N926" s="23"/>
      <c r="O926" s="24">
        <f>H926-J926</f>
        <v>0</v>
      </c>
    </row>
    <row r="927" spans="1:15" x14ac:dyDescent="0.25">
      <c r="A927" s="2">
        <v>25193</v>
      </c>
      <c r="B927" s="2">
        <v>52140</v>
      </c>
      <c r="C927" s="2" t="s">
        <v>34</v>
      </c>
      <c r="H927" s="4">
        <v>2337</v>
      </c>
      <c r="I927" s="4">
        <f>[1]Expense!N489</f>
        <v>350</v>
      </c>
      <c r="J927" s="4">
        <f>[1]Expense!I489</f>
        <v>495</v>
      </c>
      <c r="N927" s="23">
        <f>(H927-J927)/J927</f>
        <v>3.7212121212121212</v>
      </c>
      <c r="O927" s="24">
        <f>H927-J927</f>
        <v>1842</v>
      </c>
    </row>
    <row r="928" spans="1:15" x14ac:dyDescent="0.25">
      <c r="A928" s="2">
        <v>25193</v>
      </c>
      <c r="B928" s="2">
        <v>52200</v>
      </c>
      <c r="C928" s="2" t="s">
        <v>35</v>
      </c>
      <c r="G928" s="3"/>
      <c r="H928" s="4">
        <v>22200</v>
      </c>
      <c r="I928" s="4">
        <f>[1]Expense!N490</f>
        <v>20400</v>
      </c>
      <c r="J928" s="4">
        <f>[1]Expense!I490</f>
        <v>20450</v>
      </c>
      <c r="K928" s="4">
        <f>[2]Expense!K456</f>
        <v>16405.599999999999</v>
      </c>
      <c r="L928" s="4">
        <f>12679.79+85.73</f>
        <v>12765.52</v>
      </c>
      <c r="M928" s="4">
        <f>10507.82+1484.93</f>
        <v>11992.75</v>
      </c>
      <c r="N928" s="23">
        <f>(H928-J928)/J928</f>
        <v>8.557457212713937E-2</v>
      </c>
      <c r="O928" s="24">
        <f>H928-J928</f>
        <v>1750</v>
      </c>
    </row>
    <row r="929" spans="1:15" x14ac:dyDescent="0.25">
      <c r="A929" s="2">
        <v>25193</v>
      </c>
      <c r="B929" s="2">
        <v>52230</v>
      </c>
      <c r="C929" s="2" t="s">
        <v>36</v>
      </c>
      <c r="G929" s="3"/>
      <c r="H929" s="4">
        <v>39130</v>
      </c>
      <c r="I929" s="2">
        <f>[1]Expense!N491</f>
        <v>36800</v>
      </c>
      <c r="J929" s="4">
        <f>[1]Expense!I491</f>
        <v>36900</v>
      </c>
      <c r="K929" s="4">
        <f>[2]Expense!K457</f>
        <v>32638.68</v>
      </c>
      <c r="L929" s="4">
        <f>22855.46+44.69</f>
        <v>22900.149999999998</v>
      </c>
      <c r="M929" s="4">
        <f>15987.5+145.97</f>
        <v>16133.47</v>
      </c>
      <c r="N929" s="23">
        <f>(H929-J929)/J929</f>
        <v>6.0433604336043362E-2</v>
      </c>
      <c r="O929" s="24">
        <f>H929-J929</f>
        <v>2230</v>
      </c>
    </row>
    <row r="930" spans="1:15" x14ac:dyDescent="0.25">
      <c r="A930" s="2">
        <v>25193</v>
      </c>
      <c r="B930" s="2">
        <v>52250</v>
      </c>
      <c r="C930" s="2" t="s">
        <v>37</v>
      </c>
      <c r="G930" s="3"/>
      <c r="H930" s="3">
        <v>175</v>
      </c>
      <c r="I930" s="4">
        <f>[1]Expense!N492</f>
        <v>135</v>
      </c>
      <c r="J930" s="4">
        <f>[1]Expense!I492</f>
        <v>135</v>
      </c>
      <c r="K930" s="4">
        <f>[2]Expense!K458</f>
        <v>298.12</v>
      </c>
      <c r="L930" s="4">
        <v>232.79</v>
      </c>
      <c r="M930" s="4">
        <v>232.79</v>
      </c>
      <c r="N930" s="23">
        <f>(H930-J930)/J930</f>
        <v>0.29629629629629628</v>
      </c>
      <c r="O930" s="24">
        <f>H930-J930</f>
        <v>40</v>
      </c>
    </row>
    <row r="931" spans="1:15" x14ac:dyDescent="0.25">
      <c r="A931" s="2">
        <v>25193</v>
      </c>
      <c r="B931" s="2">
        <v>52260</v>
      </c>
      <c r="C931" s="2" t="s">
        <v>38</v>
      </c>
      <c r="G931" s="3"/>
      <c r="H931" s="3">
        <v>5195</v>
      </c>
      <c r="I931" s="2">
        <f>[1]Expense!N493</f>
        <v>3915</v>
      </c>
      <c r="J931" s="4">
        <f>[1]Expense!I493</f>
        <v>3915</v>
      </c>
      <c r="K931" s="4">
        <f>[2]Expense!K459</f>
        <v>4046</v>
      </c>
      <c r="L931" s="4">
        <v>6295</v>
      </c>
      <c r="M931" s="4">
        <v>7336</v>
      </c>
      <c r="N931" s="23">
        <f>(H931-J931)/J931</f>
        <v>0.3269476372924649</v>
      </c>
      <c r="O931" s="24">
        <f>H931-J931</f>
        <v>1280</v>
      </c>
    </row>
    <row r="932" spans="1:15" x14ac:dyDescent="0.25">
      <c r="A932" s="2">
        <v>25193</v>
      </c>
      <c r="B932" s="2">
        <v>53700</v>
      </c>
      <c r="C932" s="2" t="s">
        <v>629</v>
      </c>
      <c r="G932" s="3"/>
      <c r="H932" s="4">
        <v>6000</v>
      </c>
      <c r="I932" s="2">
        <f>[1]Expense!N494</f>
        <v>5500</v>
      </c>
      <c r="J932" s="4">
        <f>[1]Expense!I494</f>
        <v>4500</v>
      </c>
      <c r="K932" s="4">
        <f>[2]Expense!K460</f>
        <v>3980</v>
      </c>
      <c r="L932" s="4">
        <v>1365</v>
      </c>
      <c r="M932" s="4">
        <v>1312.2</v>
      </c>
      <c r="N932" s="23">
        <f>(H932-J932)/J932</f>
        <v>0.33333333333333331</v>
      </c>
      <c r="O932" s="24">
        <f>H932-J932</f>
        <v>1500</v>
      </c>
    </row>
    <row r="933" spans="1:15" x14ac:dyDescent="0.25">
      <c r="C933" s="2" t="s">
        <v>630</v>
      </c>
      <c r="G933" s="3"/>
      <c r="H933" s="4"/>
      <c r="N933" s="23"/>
      <c r="O933" s="24">
        <f>H933-J933</f>
        <v>0</v>
      </c>
    </row>
    <row r="934" spans="1:15" x14ac:dyDescent="0.25">
      <c r="A934" s="2">
        <v>25193</v>
      </c>
      <c r="B934" s="2">
        <v>56100</v>
      </c>
      <c r="C934" s="2" t="s">
        <v>153</v>
      </c>
      <c r="G934" s="3"/>
      <c r="H934" s="4">
        <v>5000</v>
      </c>
      <c r="I934" s="2">
        <f>[1]Expense!N495</f>
        <v>5000</v>
      </c>
      <c r="J934" s="4">
        <f>[1]Expense!I495</f>
        <v>5000</v>
      </c>
      <c r="K934" s="4">
        <f>[2]Expense!K461</f>
        <v>4731.5</v>
      </c>
      <c r="L934" s="4">
        <v>4530</v>
      </c>
      <c r="M934" s="4">
        <f>3874.25+440.42</f>
        <v>4314.67</v>
      </c>
      <c r="N934" s="23">
        <f>(H934-J934)/J934</f>
        <v>0</v>
      </c>
      <c r="O934" s="24">
        <f>H934-J934</f>
        <v>0</v>
      </c>
    </row>
    <row r="935" spans="1:15" x14ac:dyDescent="0.25">
      <c r="C935" s="2" t="s">
        <v>631</v>
      </c>
      <c r="G935" s="3"/>
      <c r="H935" s="4"/>
      <c r="N935" s="23"/>
      <c r="O935" s="24">
        <f>H935-J935</f>
        <v>0</v>
      </c>
    </row>
    <row r="936" spans="1:15" s="5" customFormat="1" x14ac:dyDescent="0.25">
      <c r="A936" s="5" t="s">
        <v>23</v>
      </c>
      <c r="B936" s="5" t="s">
        <v>632</v>
      </c>
      <c r="G936" s="21">
        <f t="shared" ref="G936:M936" si="25">SUM(G919:G934)</f>
        <v>0</v>
      </c>
      <c r="H936" s="21">
        <f t="shared" si="25"/>
        <v>475937</v>
      </c>
      <c r="I936" s="22">
        <f t="shared" si="25"/>
        <v>417717</v>
      </c>
      <c r="J936" s="22">
        <f t="shared" si="25"/>
        <v>430195</v>
      </c>
      <c r="K936" s="22">
        <f t="shared" si="25"/>
        <v>389349.44</v>
      </c>
      <c r="L936" s="22">
        <f t="shared" si="25"/>
        <v>308855.64</v>
      </c>
      <c r="M936" s="22">
        <f t="shared" si="25"/>
        <v>263651.18</v>
      </c>
      <c r="N936" s="25">
        <f>(H936-J936)/J936</f>
        <v>0.10632852543613942</v>
      </c>
      <c r="O936" s="26">
        <f>H936-J936</f>
        <v>45742</v>
      </c>
    </row>
    <row r="937" spans="1:15" x14ac:dyDescent="0.25">
      <c r="I937" s="5"/>
      <c r="J937" s="22"/>
      <c r="K937" s="22"/>
      <c r="N937" s="23"/>
      <c r="O937" s="24">
        <f>H937-J937</f>
        <v>0</v>
      </c>
    </row>
    <row r="938" spans="1:15" s="5" customFormat="1" x14ac:dyDescent="0.25">
      <c r="A938" s="5">
        <v>25194</v>
      </c>
      <c r="B938" s="5" t="s">
        <v>633</v>
      </c>
      <c r="H938" s="21"/>
      <c r="I938" s="2"/>
      <c r="J938" s="4"/>
      <c r="K938" s="4"/>
      <c r="L938" s="22"/>
      <c r="M938" s="22"/>
      <c r="N938" s="23"/>
      <c r="O938" s="24">
        <f>H938-J938</f>
        <v>0</v>
      </c>
    </row>
    <row r="939" spans="1:15" x14ac:dyDescent="0.25">
      <c r="A939" s="2">
        <v>25194</v>
      </c>
      <c r="B939" s="2">
        <v>51200</v>
      </c>
      <c r="C939" s="2" t="s">
        <v>27</v>
      </c>
      <c r="G939" s="3"/>
      <c r="H939" s="4">
        <v>28800</v>
      </c>
      <c r="I939" s="2">
        <f>[1]Expense!N499</f>
        <v>21531</v>
      </c>
      <c r="J939" s="4">
        <f>[1]Expense!I499</f>
        <v>27300</v>
      </c>
      <c r="K939" s="4">
        <f>[2]Expense!K465</f>
        <v>5443.83</v>
      </c>
      <c r="L939" s="4">
        <v>12457.92</v>
      </c>
      <c r="M939" s="4">
        <v>9656.6200000000008</v>
      </c>
      <c r="N939" s="23">
        <f>(H939-J939)/J939</f>
        <v>5.4945054945054944E-2</v>
      </c>
      <c r="O939" s="24">
        <f>H939-J939</f>
        <v>1500</v>
      </c>
    </row>
    <row r="940" spans="1:15" x14ac:dyDescent="0.25">
      <c r="A940" s="2">
        <v>25194</v>
      </c>
      <c r="B940" s="2">
        <v>52200</v>
      </c>
      <c r="C940" s="2" t="s">
        <v>35</v>
      </c>
      <c r="G940" s="3"/>
      <c r="H940" s="4">
        <v>2200</v>
      </c>
      <c r="I940" s="2">
        <f>[1]Expense!N500</f>
        <v>1625</v>
      </c>
      <c r="J940" s="4">
        <f>[1]Expense!I500</f>
        <v>2100</v>
      </c>
      <c r="K940" s="4">
        <f>[2]Expense!K466</f>
        <v>416.45</v>
      </c>
      <c r="L940" s="4">
        <v>953</v>
      </c>
      <c r="M940" s="4">
        <f>738.74+34.44</f>
        <v>773.18000000000006</v>
      </c>
      <c r="N940" s="23">
        <f>(H940-J940)/J940</f>
        <v>4.7619047619047616E-2</v>
      </c>
      <c r="O940" s="24">
        <f>H940-J940</f>
        <v>100</v>
      </c>
    </row>
    <row r="941" spans="1:15" x14ac:dyDescent="0.25">
      <c r="A941" s="2">
        <v>25194</v>
      </c>
      <c r="B941" s="2">
        <v>52250</v>
      </c>
      <c r="C941" s="2" t="s">
        <v>37</v>
      </c>
      <c r="G941" s="3"/>
      <c r="H941" s="3">
        <v>12</v>
      </c>
      <c r="I941" s="2">
        <f>[1]Expense!N501</f>
        <v>81</v>
      </c>
      <c r="J941" s="4">
        <f>[1]Expense!I501</f>
        <v>81</v>
      </c>
      <c r="K941" s="4">
        <f>[2]Expense!K467</f>
        <v>88.46</v>
      </c>
      <c r="L941" s="4">
        <v>33.25</v>
      </c>
      <c r="M941" s="4">
        <v>33.25</v>
      </c>
      <c r="N941" s="23">
        <f>(H941-J941)/J941</f>
        <v>-0.85185185185185186</v>
      </c>
      <c r="O941" s="24">
        <f>H941-J941</f>
        <v>-69</v>
      </c>
    </row>
    <row r="942" spans="1:15" x14ac:dyDescent="0.25">
      <c r="A942" s="2">
        <v>25194</v>
      </c>
      <c r="B942" s="2">
        <v>52260</v>
      </c>
      <c r="C942" s="2" t="s">
        <v>38</v>
      </c>
      <c r="G942" s="3"/>
      <c r="H942" s="3">
        <v>119</v>
      </c>
      <c r="I942" s="2">
        <f>[1]Expense!N502</f>
        <v>270</v>
      </c>
      <c r="J942" s="4">
        <f>[1]Expense!I502</f>
        <v>270</v>
      </c>
      <c r="K942" s="4">
        <f>[2]Expense!K468</f>
        <v>273</v>
      </c>
      <c r="L942" s="4">
        <v>902</v>
      </c>
      <c r="M942" s="4">
        <v>1048</v>
      </c>
      <c r="N942" s="23">
        <f>(H942-J942)/J942</f>
        <v>-0.55925925925925923</v>
      </c>
      <c r="O942" s="24">
        <f>H942-J942</f>
        <v>-151</v>
      </c>
    </row>
    <row r="943" spans="1:15" x14ac:dyDescent="0.25">
      <c r="A943" s="2">
        <v>25194</v>
      </c>
      <c r="B943" s="2">
        <v>56100</v>
      </c>
      <c r="C943" s="2" t="s">
        <v>153</v>
      </c>
      <c r="G943" s="3"/>
      <c r="H943" s="4">
        <v>1500</v>
      </c>
      <c r="I943" s="2">
        <f>[1]Expense!N503</f>
        <v>1500</v>
      </c>
      <c r="J943" s="4">
        <f>[1]Expense!I503</f>
        <v>1500</v>
      </c>
      <c r="K943" s="4">
        <f>[2]Expense!K469</f>
        <v>287.56</v>
      </c>
      <c r="L943" s="4">
        <v>1160.8499999999999</v>
      </c>
      <c r="M943" s="4">
        <f>535.03+592.77</f>
        <v>1127.8</v>
      </c>
      <c r="N943" s="23">
        <f>(H943-J943)/J943</f>
        <v>0</v>
      </c>
      <c r="O943" s="24">
        <f>H943-J943</f>
        <v>0</v>
      </c>
    </row>
    <row r="944" spans="1:15" s="5" customFormat="1" x14ac:dyDescent="0.25">
      <c r="A944" s="5" t="s">
        <v>23</v>
      </c>
      <c r="B944" s="5" t="s">
        <v>634</v>
      </c>
      <c r="G944" s="21">
        <f t="shared" ref="G944:M944" si="26">SUM(G939:G943)</f>
        <v>0</v>
      </c>
      <c r="H944" s="21">
        <f t="shared" si="26"/>
        <v>32631</v>
      </c>
      <c r="I944" s="22">
        <f t="shared" si="26"/>
        <v>25007</v>
      </c>
      <c r="J944" s="22">
        <f t="shared" si="26"/>
        <v>31251</v>
      </c>
      <c r="K944" s="22">
        <f t="shared" si="26"/>
        <v>6509.3</v>
      </c>
      <c r="L944" s="22">
        <f t="shared" si="26"/>
        <v>15507.02</v>
      </c>
      <c r="M944" s="22">
        <f t="shared" si="26"/>
        <v>12638.85</v>
      </c>
      <c r="N944" s="25">
        <f>(H944-J944)/J944</f>
        <v>4.4158586925218395E-2</v>
      </c>
      <c r="O944" s="26">
        <f>H944-J944</f>
        <v>1380</v>
      </c>
    </row>
    <row r="945" spans="1:15" s="5" customFormat="1" x14ac:dyDescent="0.25">
      <c r="A945" s="5" t="s">
        <v>23</v>
      </c>
      <c r="B945" s="5" t="s">
        <v>635</v>
      </c>
      <c r="G945" s="21">
        <f t="shared" ref="G945:M945" si="27">G944+G936+G916+G897+G878+G857+G828+G821+G802+G730+G634</f>
        <v>0</v>
      </c>
      <c r="H945" s="21">
        <f t="shared" si="27"/>
        <v>14303273</v>
      </c>
      <c r="I945" s="22">
        <f t="shared" si="27"/>
        <v>12568087</v>
      </c>
      <c r="J945" s="22">
        <f t="shared" si="27"/>
        <v>12795420.800000001</v>
      </c>
      <c r="K945" s="22">
        <f t="shared" si="27"/>
        <v>10924530.67</v>
      </c>
      <c r="L945" s="22">
        <f t="shared" si="27"/>
        <v>10343552.109999999</v>
      </c>
      <c r="M945" s="22">
        <f t="shared" si="27"/>
        <v>11235188.309999999</v>
      </c>
      <c r="N945" s="25">
        <f>(H945-J945)/J945</f>
        <v>0.11784311149813839</v>
      </c>
      <c r="O945" s="26">
        <f>H945-J945</f>
        <v>1507852.1999999993</v>
      </c>
    </row>
    <row r="946" spans="1:15" s="5" customFormat="1" x14ac:dyDescent="0.25">
      <c r="H946" s="21"/>
      <c r="I946" s="2"/>
      <c r="J946" s="22"/>
      <c r="K946" s="22"/>
      <c r="L946" s="22"/>
      <c r="M946" s="22"/>
      <c r="N946" s="23"/>
      <c r="O946" s="24">
        <f>H946-J946</f>
        <v>0</v>
      </c>
    </row>
    <row r="947" spans="1:15" s="5" customFormat="1" x14ac:dyDescent="0.25">
      <c r="A947" s="5" t="s">
        <v>23</v>
      </c>
      <c r="B947" s="5" t="s">
        <v>636</v>
      </c>
      <c r="G947" s="21">
        <f t="shared" ref="G947:M947" si="28">G945+G624</f>
        <v>0</v>
      </c>
      <c r="H947" s="21">
        <f t="shared" si="28"/>
        <v>36653963</v>
      </c>
      <c r="I947" s="22">
        <f t="shared" si="28"/>
        <v>32835302.48</v>
      </c>
      <c r="J947" s="22">
        <f t="shared" si="28"/>
        <v>33836359.49000001</v>
      </c>
      <c r="K947" s="22">
        <f t="shared" si="28"/>
        <v>29402637.990000002</v>
      </c>
      <c r="L947" s="22">
        <f t="shared" si="28"/>
        <v>28424707.690000001</v>
      </c>
      <c r="M947" s="22">
        <f t="shared" si="28"/>
        <v>32279574.309999999</v>
      </c>
      <c r="N947" s="25">
        <f>(H947-J947)/J947</f>
        <v>8.3271473422922598E-2</v>
      </c>
      <c r="O947" s="26">
        <f>H947-J947</f>
        <v>2817603.5099999905</v>
      </c>
    </row>
    <row r="948" spans="1:15" x14ac:dyDescent="0.25">
      <c r="K948" s="33">
        <v>27422</v>
      </c>
    </row>
    <row r="949" spans="1:15" x14ac:dyDescent="0.25">
      <c r="A949" s="5"/>
      <c r="K949" s="22">
        <f>+K948+K947</f>
        <v>29430059.990000002</v>
      </c>
    </row>
    <row r="950" spans="1:15" x14ac:dyDescent="0.25">
      <c r="A950" s="5"/>
      <c r="J950" s="34"/>
      <c r="K950" s="22"/>
    </row>
    <row r="951" spans="1:15" x14ac:dyDescent="0.25">
      <c r="G951" s="3"/>
    </row>
    <row r="952" spans="1:15" x14ac:dyDescent="0.25">
      <c r="G952" s="3"/>
      <c r="K952" s="22"/>
    </row>
    <row r="953" spans="1:15" x14ac:dyDescent="0.25">
      <c r="G953" s="3"/>
      <c r="K953" s="22"/>
    </row>
    <row r="954" spans="1:15" x14ac:dyDescent="0.25">
      <c r="G954" s="3"/>
      <c r="K954" s="22"/>
    </row>
    <row r="955" spans="1:15" x14ac:dyDescent="0.25">
      <c r="G955" s="3"/>
      <c r="K955" s="22"/>
    </row>
    <row r="956" spans="1:15" x14ac:dyDescent="0.25">
      <c r="G956" s="3"/>
      <c r="K956" s="22"/>
    </row>
    <row r="957" spans="1:15" x14ac:dyDescent="0.25">
      <c r="G957" s="3"/>
      <c r="K957" s="22"/>
    </row>
    <row r="958" spans="1:15" x14ac:dyDescent="0.25">
      <c r="G958" s="3"/>
      <c r="K958" s="22"/>
    </row>
    <row r="959" spans="1:15" x14ac:dyDescent="0.25">
      <c r="G959" s="3"/>
      <c r="K959" s="22"/>
    </row>
    <row r="960" spans="1:15" x14ac:dyDescent="0.25">
      <c r="G960" s="3"/>
      <c r="K960" s="22"/>
    </row>
    <row r="961" spans="1:13" x14ac:dyDescent="0.25">
      <c r="G961" s="3"/>
      <c r="K961" s="22"/>
    </row>
    <row r="962" spans="1:13" x14ac:dyDescent="0.25">
      <c r="A962" s="5"/>
      <c r="G962" s="21"/>
      <c r="H962" s="21"/>
      <c r="K962" s="22"/>
    </row>
    <row r="963" spans="1:13" x14ac:dyDescent="0.25">
      <c r="J963" s="22"/>
      <c r="K963" s="22"/>
    </row>
    <row r="964" spans="1:13" x14ac:dyDescent="0.25">
      <c r="G964" s="21"/>
      <c r="H964" s="21"/>
      <c r="L964" s="22"/>
      <c r="M964" s="22"/>
    </row>
    <row r="967" spans="1:13" hidden="1" x14ac:dyDescent="0.25">
      <c r="C967" s="2" t="s">
        <v>637</v>
      </c>
    </row>
    <row r="968" spans="1:13" hidden="1" x14ac:dyDescent="0.25">
      <c r="C968" s="30" t="s">
        <v>638</v>
      </c>
      <c r="D968" s="30"/>
      <c r="E968" s="30"/>
      <c r="F968" s="30"/>
      <c r="G968" s="3">
        <f>G945</f>
        <v>0</v>
      </c>
      <c r="H968" s="4">
        <f>H945</f>
        <v>14303273</v>
      </c>
      <c r="J968" s="4">
        <f>J945</f>
        <v>12795420.800000001</v>
      </c>
      <c r="K968" s="4">
        <f>K945</f>
        <v>10924530.67</v>
      </c>
      <c r="L968" s="4">
        <f>L945</f>
        <v>10343552.109999999</v>
      </c>
      <c r="M968" s="4">
        <f>M945</f>
        <v>11235188.309999999</v>
      </c>
    </row>
    <row r="969" spans="1:13" hidden="1" x14ac:dyDescent="0.25">
      <c r="C969" s="30" t="s">
        <v>639</v>
      </c>
      <c r="D969" s="30"/>
      <c r="E969" s="30"/>
      <c r="F969" s="30"/>
      <c r="G969" s="35"/>
      <c r="H969" s="33">
        <v>10169120</v>
      </c>
      <c r="J969" s="33">
        <v>1.4</v>
      </c>
      <c r="K969" s="33">
        <f>[3]Revenue!I79</f>
        <v>10119633.279999999</v>
      </c>
      <c r="L969" s="33">
        <f>[3]Revenue!K79</f>
        <v>10417838.070000002</v>
      </c>
      <c r="M969" s="33">
        <f>[3]Revenue!L79</f>
        <v>12098267.800000001</v>
      </c>
    </row>
    <row r="970" spans="1:13" hidden="1" x14ac:dyDescent="0.25">
      <c r="C970" s="2" t="s">
        <v>640</v>
      </c>
      <c r="G970" s="3">
        <f>G968-G969</f>
        <v>0</v>
      </c>
      <c r="H970" s="3">
        <f>H968-H969</f>
        <v>4134153</v>
      </c>
      <c r="J970" s="4">
        <f>J968-J969</f>
        <v>12795419.4</v>
      </c>
      <c r="K970" s="4">
        <f>K968-K969</f>
        <v>804897.3900000006</v>
      </c>
      <c r="L970" s="4">
        <f>L968-L969</f>
        <v>-74285.960000002757</v>
      </c>
      <c r="M970" s="4">
        <f>M968-M969</f>
        <v>-863079.49000000209</v>
      </c>
    </row>
  </sheetData>
  <mergeCells count="2">
    <mergeCell ref="A1:B1"/>
    <mergeCell ref="D2:F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FEB4-91AF-41CA-BA04-0E8EC3A9F5C8}">
  <dimension ref="A1:K91"/>
  <sheetViews>
    <sheetView topLeftCell="A21" workbookViewId="0">
      <selection activeCell="G4" sqref="G4"/>
    </sheetView>
  </sheetViews>
  <sheetFormatPr defaultColWidth="9.140625" defaultRowHeight="15.75" x14ac:dyDescent="0.25"/>
  <cols>
    <col min="1" max="3" width="9.28515625" style="2" bestFit="1" customWidth="1"/>
    <col min="4" max="4" width="30.140625" style="2" customWidth="1"/>
    <col min="5" max="5" width="12.7109375" style="2" bestFit="1" customWidth="1"/>
    <col min="6" max="6" width="12.7109375" style="2" customWidth="1"/>
    <col min="7" max="10" width="15.7109375" style="2" bestFit="1" customWidth="1"/>
    <col min="11" max="11" width="9.5703125" style="2" bestFit="1" customWidth="1"/>
    <col min="12" max="16384" width="9.140625" style="2"/>
  </cols>
  <sheetData>
    <row r="1" spans="1:11" s="5" customFormat="1" x14ac:dyDescent="0.25">
      <c r="E1" s="9"/>
      <c r="F1" s="9">
        <v>2023</v>
      </c>
      <c r="G1" s="9">
        <v>2023</v>
      </c>
      <c r="H1" s="9">
        <v>2022</v>
      </c>
      <c r="I1" s="9">
        <v>2021</v>
      </c>
      <c r="J1" s="9">
        <v>2020</v>
      </c>
      <c r="K1" s="12" t="s">
        <v>641</v>
      </c>
    </row>
    <row r="2" spans="1:11" s="5" customFormat="1" x14ac:dyDescent="0.25">
      <c r="E2" s="36">
        <v>2024</v>
      </c>
      <c r="F2" s="36" t="s">
        <v>642</v>
      </c>
      <c r="G2" s="36" t="s">
        <v>15</v>
      </c>
      <c r="H2" s="36" t="s">
        <v>16</v>
      </c>
      <c r="I2" s="36" t="s">
        <v>16</v>
      </c>
      <c r="J2" s="36" t="s">
        <v>16</v>
      </c>
      <c r="K2" s="37" t="s">
        <v>643</v>
      </c>
    </row>
    <row r="4" spans="1:11" x14ac:dyDescent="0.25">
      <c r="A4" s="2">
        <v>14123</v>
      </c>
      <c r="B4" s="2" t="s">
        <v>25</v>
      </c>
    </row>
    <row r="5" spans="1:11" x14ac:dyDescent="0.25">
      <c r="A5" s="2">
        <v>14123</v>
      </c>
      <c r="B5" s="2">
        <v>33100</v>
      </c>
      <c r="D5" s="2" t="s">
        <v>644</v>
      </c>
      <c r="E5" s="3">
        <v>80000</v>
      </c>
      <c r="F5" s="4">
        <f>[1]Revenue!$L$5</f>
        <v>80000</v>
      </c>
      <c r="G5" s="4">
        <v>65000</v>
      </c>
      <c r="H5" s="4">
        <v>85155.4</v>
      </c>
      <c r="I5" s="4">
        <v>85328.51</v>
      </c>
      <c r="J5" s="4">
        <v>81154.31</v>
      </c>
      <c r="K5" s="38"/>
    </row>
    <row r="6" spans="1:11" x14ac:dyDescent="0.25">
      <c r="A6" s="2">
        <v>14123</v>
      </c>
      <c r="B6" s="2">
        <v>35000</v>
      </c>
      <c r="D6" s="2" t="s">
        <v>645</v>
      </c>
      <c r="E6" s="35">
        <v>0</v>
      </c>
      <c r="F6" s="33"/>
      <c r="G6" s="33">
        <v>0</v>
      </c>
      <c r="H6" s="33">
        <v>0</v>
      </c>
      <c r="I6" s="33">
        <v>-447.1</v>
      </c>
      <c r="J6" s="33">
        <v>0</v>
      </c>
      <c r="K6" s="39"/>
    </row>
    <row r="7" spans="1:11" s="5" customFormat="1" x14ac:dyDescent="0.25">
      <c r="A7" s="5" t="s">
        <v>23</v>
      </c>
      <c r="B7" s="5" t="s">
        <v>61</v>
      </c>
      <c r="E7" s="21">
        <f>SUM(E5:E6)</f>
        <v>80000</v>
      </c>
      <c r="F7" s="22">
        <f>SUM(F5:F6)</f>
        <v>80000</v>
      </c>
      <c r="G7" s="22">
        <v>65000</v>
      </c>
      <c r="H7" s="22">
        <v>85155.4</v>
      </c>
      <c r="I7" s="22">
        <v>84881.41</v>
      </c>
      <c r="J7" s="22">
        <v>81154.31</v>
      </c>
      <c r="K7" s="38">
        <f>(E7-G7)/G7</f>
        <v>0.23076923076923078</v>
      </c>
    </row>
    <row r="8" spans="1:11" x14ac:dyDescent="0.25">
      <c r="E8" s="3"/>
      <c r="F8" s="4"/>
      <c r="G8" s="4"/>
      <c r="H8" s="4"/>
      <c r="I8" s="4"/>
      <c r="J8" s="4"/>
      <c r="K8" s="38"/>
    </row>
    <row r="9" spans="1:11" x14ac:dyDescent="0.25">
      <c r="A9" s="2">
        <v>14130</v>
      </c>
      <c r="B9" s="2" t="s">
        <v>62</v>
      </c>
      <c r="E9" s="3"/>
      <c r="F9" s="4"/>
      <c r="G9" s="4"/>
      <c r="H9" s="4"/>
      <c r="I9" s="4"/>
      <c r="J9" s="4"/>
      <c r="K9" s="38"/>
    </row>
    <row r="10" spans="1:11" x14ac:dyDescent="0.25">
      <c r="A10" s="2">
        <v>14130</v>
      </c>
      <c r="B10" s="2">
        <v>31110</v>
      </c>
      <c r="D10" s="2" t="s">
        <v>646</v>
      </c>
      <c r="E10" s="3"/>
      <c r="F10" s="4"/>
      <c r="G10" s="4">
        <v>20667052</v>
      </c>
      <c r="H10" s="4">
        <v>15586247</v>
      </c>
      <c r="I10" s="4">
        <v>13145309</v>
      </c>
      <c r="J10" s="4">
        <v>14770507</v>
      </c>
      <c r="K10" s="38">
        <f>(E10-G10)/G10</f>
        <v>-1</v>
      </c>
    </row>
    <row r="11" spans="1:11" x14ac:dyDescent="0.25">
      <c r="A11" s="2">
        <v>14130</v>
      </c>
      <c r="B11" s="2">
        <v>33720</v>
      </c>
      <c r="D11" s="2" t="s">
        <v>647</v>
      </c>
      <c r="E11" s="3">
        <v>325000</v>
      </c>
      <c r="F11" s="4">
        <f>[1]Revenue!$L$11</f>
        <v>351901.21</v>
      </c>
      <c r="G11" s="4">
        <v>300000</v>
      </c>
      <c r="H11" s="4">
        <v>320284.83</v>
      </c>
      <c r="I11" s="4">
        <v>247404.26</v>
      </c>
      <c r="J11" s="4">
        <v>0</v>
      </c>
      <c r="K11" s="38">
        <f>(E11-G11)/G11</f>
        <v>8.3333333333333329E-2</v>
      </c>
    </row>
    <row r="12" spans="1:11" x14ac:dyDescent="0.25">
      <c r="A12" s="2">
        <v>14130</v>
      </c>
      <c r="B12" s="2">
        <v>33913</v>
      </c>
      <c r="D12" s="2" t="s">
        <v>648</v>
      </c>
      <c r="E12" s="3">
        <v>0</v>
      </c>
      <c r="F12" s="4"/>
      <c r="G12" s="4">
        <v>0</v>
      </c>
      <c r="H12" s="4">
        <v>0</v>
      </c>
      <c r="I12" s="4">
        <v>0</v>
      </c>
      <c r="J12" s="4">
        <v>0</v>
      </c>
      <c r="K12" s="38"/>
    </row>
    <row r="13" spans="1:11" x14ac:dyDescent="0.25">
      <c r="A13" s="2">
        <v>14130</v>
      </c>
      <c r="B13" s="2">
        <v>35000</v>
      </c>
      <c r="D13" s="2" t="s">
        <v>649</v>
      </c>
      <c r="E13" s="3">
        <v>50000</v>
      </c>
      <c r="F13" s="4">
        <f>[1]Revenue!$L$12</f>
        <v>70000</v>
      </c>
      <c r="G13" s="4">
        <v>80000</v>
      </c>
      <c r="H13" s="4">
        <v>306627.51</v>
      </c>
      <c r="I13" s="4">
        <v>90786.880000000005</v>
      </c>
      <c r="J13" s="4">
        <f>348418.63+80688</f>
        <v>429106.63</v>
      </c>
      <c r="K13" s="38">
        <f>(E13-G13)/G13</f>
        <v>-0.375</v>
      </c>
    </row>
    <row r="14" spans="1:11" x14ac:dyDescent="0.25">
      <c r="A14" s="2">
        <v>14130</v>
      </c>
      <c r="B14" s="2">
        <v>35030</v>
      </c>
      <c r="D14" s="2" t="s">
        <v>650</v>
      </c>
      <c r="E14" s="3">
        <v>304744</v>
      </c>
      <c r="F14" s="4">
        <f>[1]Revenue!$L$13</f>
        <v>297740</v>
      </c>
      <c r="G14" s="4">
        <v>297060</v>
      </c>
      <c r="H14" s="4">
        <v>290919.96000000002</v>
      </c>
      <c r="I14" s="4">
        <v>285219.96000000002</v>
      </c>
      <c r="J14" s="4">
        <v>279638.03999999998</v>
      </c>
      <c r="K14" s="38">
        <f>(E14-G14)/G14</f>
        <v>2.5866828250185148E-2</v>
      </c>
    </row>
    <row r="15" spans="1:11" x14ac:dyDescent="0.25">
      <c r="D15" s="2" t="s">
        <v>651</v>
      </c>
      <c r="E15" s="3"/>
      <c r="F15" s="4"/>
      <c r="G15" s="4"/>
      <c r="H15" s="4"/>
      <c r="I15" s="4"/>
      <c r="J15" s="4"/>
      <c r="K15" s="38"/>
    </row>
    <row r="16" spans="1:11" x14ac:dyDescent="0.25">
      <c r="D16" s="2" t="s">
        <v>652</v>
      </c>
      <c r="E16" s="3"/>
      <c r="F16" s="4"/>
      <c r="G16" s="4"/>
      <c r="H16" s="4"/>
      <c r="I16" s="4"/>
      <c r="J16" s="4"/>
      <c r="K16" s="38"/>
    </row>
    <row r="17" spans="1:11" x14ac:dyDescent="0.25">
      <c r="A17" s="2">
        <v>14130</v>
      </c>
      <c r="B17" s="2">
        <v>35060</v>
      </c>
      <c r="D17" s="2" t="s">
        <v>653</v>
      </c>
      <c r="E17" s="3">
        <v>0</v>
      </c>
      <c r="F17" s="4">
        <f>[1]Revenue!$L$14</f>
        <v>1320</v>
      </c>
      <c r="G17" s="4">
        <v>50000</v>
      </c>
      <c r="H17" s="4">
        <v>54474.84</v>
      </c>
      <c r="I17" s="4">
        <v>285078.76</v>
      </c>
      <c r="J17" s="4">
        <v>166491.23000000001</v>
      </c>
      <c r="K17" s="38">
        <f>(E17-G17)/G17</f>
        <v>-1</v>
      </c>
    </row>
    <row r="18" spans="1:11" x14ac:dyDescent="0.25">
      <c r="A18" s="2">
        <v>14130</v>
      </c>
      <c r="B18" s="2">
        <v>35100</v>
      </c>
      <c r="D18" s="2" t="s">
        <v>654</v>
      </c>
      <c r="E18" s="35">
        <v>20000</v>
      </c>
      <c r="F18" s="33">
        <f>[1]Revenue!$L$15</f>
        <v>26904</v>
      </c>
      <c r="G18" s="33">
        <v>0</v>
      </c>
      <c r="H18" s="33">
        <v>0</v>
      </c>
      <c r="I18" s="33">
        <v>0</v>
      </c>
      <c r="J18" s="33">
        <v>0</v>
      </c>
      <c r="K18" s="38"/>
    </row>
    <row r="19" spans="1:11" s="5" customFormat="1" x14ac:dyDescent="0.25">
      <c r="A19" s="5" t="s">
        <v>23</v>
      </c>
      <c r="B19" s="5" t="s">
        <v>90</v>
      </c>
      <c r="E19" s="21">
        <f t="shared" ref="E19:J19" si="0">SUM(E10:E18)</f>
        <v>699744</v>
      </c>
      <c r="F19" s="22">
        <f t="shared" si="0"/>
        <v>747865.21</v>
      </c>
      <c r="G19" s="22">
        <f t="shared" si="0"/>
        <v>21394112</v>
      </c>
      <c r="H19" s="22">
        <f t="shared" si="0"/>
        <v>16558554.140000001</v>
      </c>
      <c r="I19" s="22">
        <f t="shared" si="0"/>
        <v>14053798.860000001</v>
      </c>
      <c r="J19" s="22">
        <f t="shared" si="0"/>
        <v>15645742.9</v>
      </c>
      <c r="K19" s="38">
        <f>(E19-G19)/G19</f>
        <v>-0.96729268314571781</v>
      </c>
    </row>
    <row r="20" spans="1:11" x14ac:dyDescent="0.25">
      <c r="E20" s="3"/>
      <c r="F20" s="4"/>
      <c r="G20" s="4"/>
      <c r="H20" s="4"/>
      <c r="I20" s="4"/>
      <c r="J20" s="4"/>
      <c r="K20" s="38"/>
    </row>
    <row r="21" spans="1:11" x14ac:dyDescent="0.25">
      <c r="A21" s="2">
        <v>14150</v>
      </c>
      <c r="B21" s="2" t="s">
        <v>120</v>
      </c>
      <c r="E21" s="3"/>
      <c r="F21" s="4"/>
      <c r="G21" s="4"/>
      <c r="H21" s="4"/>
      <c r="I21" s="4"/>
      <c r="J21" s="4"/>
      <c r="K21" s="38"/>
    </row>
    <row r="22" spans="1:11" x14ac:dyDescent="0.25">
      <c r="A22" s="2">
        <v>14150</v>
      </c>
      <c r="B22" s="2">
        <v>35020</v>
      </c>
      <c r="D22" s="2" t="s">
        <v>655</v>
      </c>
      <c r="E22" s="3">
        <v>150000</v>
      </c>
      <c r="F22" s="4">
        <f>[1]Revenue!$L$19</f>
        <v>320000</v>
      </c>
      <c r="G22" s="4">
        <v>15000</v>
      </c>
      <c r="H22" s="4">
        <v>32952.36</v>
      </c>
      <c r="I22" s="4">
        <v>6312.97</v>
      </c>
      <c r="J22" s="4">
        <v>399.11</v>
      </c>
      <c r="K22" s="38">
        <f>(E22-G22)/G22</f>
        <v>9</v>
      </c>
    </row>
    <row r="23" spans="1:11" x14ac:dyDescent="0.25">
      <c r="A23" s="2">
        <v>14150</v>
      </c>
      <c r="B23" s="2">
        <v>35091</v>
      </c>
      <c r="D23" s="2" t="s">
        <v>656</v>
      </c>
      <c r="E23" s="3">
        <v>1750000</v>
      </c>
      <c r="F23" s="4"/>
      <c r="G23" s="4">
        <v>0</v>
      </c>
      <c r="H23" s="4">
        <v>2000000</v>
      </c>
      <c r="I23" s="4">
        <v>3000000</v>
      </c>
      <c r="J23" s="4">
        <v>891080</v>
      </c>
      <c r="K23" s="38"/>
    </row>
    <row r="24" spans="1:11" s="5" customFormat="1" x14ac:dyDescent="0.25">
      <c r="A24" s="5" t="s">
        <v>23</v>
      </c>
      <c r="B24" s="5" t="s">
        <v>136</v>
      </c>
      <c r="E24" s="40">
        <f>SUM(E22:E23)</f>
        <v>1900000</v>
      </c>
      <c r="F24" s="41">
        <f>SUM(F22:F23)</f>
        <v>320000</v>
      </c>
      <c r="G24" s="41">
        <v>15000</v>
      </c>
      <c r="H24" s="41">
        <v>2032952.36</v>
      </c>
      <c r="I24" s="41">
        <v>3006312.97</v>
      </c>
      <c r="J24" s="41">
        <v>891479.11</v>
      </c>
      <c r="K24" s="38"/>
    </row>
    <row r="25" spans="1:11" x14ac:dyDescent="0.25">
      <c r="E25" s="3"/>
      <c r="F25" s="4"/>
      <c r="G25" s="4"/>
      <c r="H25" s="4"/>
      <c r="I25" s="4"/>
      <c r="J25" s="4"/>
      <c r="K25" s="38"/>
    </row>
    <row r="26" spans="1:11" x14ac:dyDescent="0.25">
      <c r="A26" s="2">
        <v>14193</v>
      </c>
      <c r="B26" s="2" t="s">
        <v>137</v>
      </c>
      <c r="E26" s="3"/>
      <c r="F26" s="4"/>
      <c r="G26" s="4"/>
      <c r="H26" s="4"/>
      <c r="I26" s="4"/>
      <c r="J26" s="4"/>
      <c r="K26" s="38"/>
    </row>
    <row r="27" spans="1:11" x14ac:dyDescent="0.25">
      <c r="A27" s="2">
        <v>14193</v>
      </c>
      <c r="B27" s="2">
        <v>34021</v>
      </c>
      <c r="D27" s="2" t="s">
        <v>657</v>
      </c>
      <c r="E27" s="3">
        <v>960000</v>
      </c>
      <c r="F27" s="24">
        <v>965000</v>
      </c>
      <c r="G27" s="4">
        <v>1100000</v>
      </c>
      <c r="H27" s="4">
        <v>1159455.3600000001</v>
      </c>
      <c r="I27" s="4">
        <v>1358475.18</v>
      </c>
      <c r="J27" s="4">
        <v>1212644.51</v>
      </c>
      <c r="K27" s="38">
        <f>(E27-G27)/G27</f>
        <v>-0.12727272727272726</v>
      </c>
    </row>
    <row r="28" spans="1:11" x14ac:dyDescent="0.25">
      <c r="A28" s="2">
        <v>14193</v>
      </c>
      <c r="B28" s="2">
        <v>34022</v>
      </c>
      <c r="D28" s="2" t="s">
        <v>658</v>
      </c>
      <c r="E28" s="3">
        <v>22716</v>
      </c>
      <c r="F28" s="24">
        <v>22716</v>
      </c>
      <c r="G28" s="4">
        <v>22716</v>
      </c>
      <c r="H28" s="4">
        <v>34025</v>
      </c>
      <c r="I28" s="4">
        <v>28600</v>
      </c>
      <c r="J28" s="4">
        <v>28600</v>
      </c>
      <c r="K28" s="38">
        <f>(E28-G28)/G28</f>
        <v>0</v>
      </c>
    </row>
    <row r="29" spans="1:11" x14ac:dyDescent="0.25">
      <c r="A29" s="2">
        <v>14193</v>
      </c>
      <c r="B29" s="2">
        <v>34023</v>
      </c>
      <c r="D29" s="2" t="s">
        <v>659</v>
      </c>
      <c r="E29" s="3">
        <v>7600</v>
      </c>
      <c r="F29" s="24">
        <v>7800</v>
      </c>
      <c r="G29" s="4">
        <v>10000</v>
      </c>
      <c r="H29" s="4">
        <v>10139</v>
      </c>
      <c r="I29" s="4">
        <v>14511</v>
      </c>
      <c r="J29" s="4">
        <v>13152</v>
      </c>
      <c r="K29" s="38">
        <f>(E29-G29)/G29</f>
        <v>-0.24</v>
      </c>
    </row>
    <row r="30" spans="1:11" x14ac:dyDescent="0.25">
      <c r="A30" s="2">
        <v>14193</v>
      </c>
      <c r="B30" s="2">
        <v>35090</v>
      </c>
      <c r="D30" s="2" t="s">
        <v>660</v>
      </c>
      <c r="E30" s="35">
        <v>1400</v>
      </c>
      <c r="F30" s="24">
        <v>1500</v>
      </c>
      <c r="G30" s="33">
        <v>350</v>
      </c>
      <c r="H30" s="33">
        <v>396.31</v>
      </c>
      <c r="I30" s="33">
        <v>430.4</v>
      </c>
      <c r="J30" s="33">
        <v>402.77</v>
      </c>
      <c r="K30" s="38">
        <f>(E30-G30)/G30</f>
        <v>3</v>
      </c>
    </row>
    <row r="31" spans="1:11" s="5" customFormat="1" x14ac:dyDescent="0.25">
      <c r="A31" s="5" t="s">
        <v>23</v>
      </c>
      <c r="B31" s="5" t="s">
        <v>154</v>
      </c>
      <c r="E31" s="21">
        <f>SUM(E27:E30)</f>
        <v>991716</v>
      </c>
      <c r="F31" s="22">
        <f>SUM(F27:F30)</f>
        <v>997016</v>
      </c>
      <c r="G31" s="22">
        <v>1133066</v>
      </c>
      <c r="H31" s="22">
        <v>1204015.67</v>
      </c>
      <c r="I31" s="22">
        <v>1402016.58</v>
      </c>
      <c r="J31" s="22">
        <v>1254799.28</v>
      </c>
      <c r="K31" s="38">
        <f>(E31-G31)/G31</f>
        <v>-0.12475001456225851</v>
      </c>
    </row>
    <row r="32" spans="1:11" x14ac:dyDescent="0.25">
      <c r="E32" s="3"/>
      <c r="F32" s="4"/>
      <c r="G32" s="4"/>
      <c r="H32" s="4"/>
      <c r="I32" s="4"/>
      <c r="J32" s="4"/>
      <c r="K32" s="38"/>
    </row>
    <row r="33" spans="1:11" x14ac:dyDescent="0.25">
      <c r="A33" s="2">
        <v>14211</v>
      </c>
      <c r="B33" s="2" t="s">
        <v>236</v>
      </c>
      <c r="E33" s="3"/>
      <c r="F33" s="4"/>
      <c r="G33" s="4"/>
      <c r="H33" s="4"/>
      <c r="I33" s="4"/>
      <c r="J33" s="4"/>
      <c r="K33" s="38"/>
    </row>
    <row r="34" spans="1:11" x14ac:dyDescent="0.25">
      <c r="A34" s="2">
        <v>14211</v>
      </c>
      <c r="B34" s="2">
        <v>33100</v>
      </c>
      <c r="D34" s="2" t="s">
        <v>644</v>
      </c>
      <c r="E34" s="3">
        <v>8000</v>
      </c>
      <c r="F34" s="4"/>
      <c r="G34" s="4">
        <v>0</v>
      </c>
      <c r="H34" s="4">
        <v>810.44</v>
      </c>
      <c r="I34" s="4">
        <v>1950</v>
      </c>
      <c r="J34" s="4">
        <v>3762.68</v>
      </c>
      <c r="K34" s="38"/>
    </row>
    <row r="35" spans="1:11" x14ac:dyDescent="0.25">
      <c r="D35" s="2" t="s">
        <v>661</v>
      </c>
      <c r="E35" s="3"/>
      <c r="F35" s="4"/>
      <c r="G35" s="4"/>
      <c r="H35" s="4"/>
      <c r="I35" s="4"/>
      <c r="J35" s="4"/>
      <c r="K35" s="38"/>
    </row>
    <row r="36" spans="1:11" x14ac:dyDescent="0.25">
      <c r="A36" s="2">
        <v>14211</v>
      </c>
      <c r="B36" s="2">
        <v>34011</v>
      </c>
      <c r="D36" s="2" t="s">
        <v>662</v>
      </c>
      <c r="E36" s="3">
        <v>80000</v>
      </c>
      <c r="F36" s="4">
        <f>[1]Revenue!$L$32</f>
        <v>85000</v>
      </c>
      <c r="G36" s="4">
        <v>75000</v>
      </c>
      <c r="H36" s="4">
        <v>87293.07</v>
      </c>
      <c r="I36" s="4">
        <v>66393.899999999994</v>
      </c>
      <c r="J36" s="4">
        <v>56534.64</v>
      </c>
      <c r="K36" s="38">
        <f>(E36-G36)/G36</f>
        <v>6.6666666666666666E-2</v>
      </c>
    </row>
    <row r="37" spans="1:11" x14ac:dyDescent="0.25">
      <c r="A37" s="2">
        <v>14211</v>
      </c>
      <c r="B37" s="2">
        <v>34012</v>
      </c>
      <c r="D37" s="2" t="s">
        <v>663</v>
      </c>
      <c r="E37" s="3">
        <v>337636</v>
      </c>
      <c r="F37" s="4">
        <f>[1]Revenue!$L$33</f>
        <v>370000</v>
      </c>
      <c r="G37" s="4">
        <v>266760</v>
      </c>
      <c r="H37" s="4">
        <v>220106.94</v>
      </c>
      <c r="I37" s="4">
        <v>169214.44</v>
      </c>
      <c r="J37" s="4">
        <v>149028.01</v>
      </c>
      <c r="K37" s="38">
        <f>(E37-G37)/G37</f>
        <v>0.26569200779727098</v>
      </c>
    </row>
    <row r="38" spans="1:11" x14ac:dyDescent="0.25">
      <c r="D38" t="s">
        <v>664</v>
      </c>
      <c r="E38" s="3"/>
      <c r="F38" s="4"/>
      <c r="G38" s="4"/>
      <c r="H38" s="4"/>
      <c r="I38" s="4"/>
      <c r="J38" s="4"/>
      <c r="K38" s="38"/>
    </row>
    <row r="39" spans="1:11" x14ac:dyDescent="0.25">
      <c r="D39" t="s">
        <v>665</v>
      </c>
      <c r="E39" s="3"/>
      <c r="F39" s="4"/>
      <c r="G39" s="4"/>
      <c r="H39" s="4"/>
      <c r="I39" s="4"/>
      <c r="J39" s="4"/>
      <c r="K39" s="38"/>
    </row>
    <row r="40" spans="1:11" x14ac:dyDescent="0.25">
      <c r="D40" t="s">
        <v>666</v>
      </c>
      <c r="E40" s="3"/>
      <c r="F40" s="4"/>
      <c r="G40" s="4"/>
      <c r="H40" s="4"/>
      <c r="I40" s="4"/>
      <c r="J40" s="4"/>
      <c r="K40" s="38"/>
    </row>
    <row r="41" spans="1:11" x14ac:dyDescent="0.25">
      <c r="A41" s="2">
        <v>14211</v>
      </c>
      <c r="B41" s="2">
        <v>34013</v>
      </c>
      <c r="D41" s="2" t="s">
        <v>667</v>
      </c>
      <c r="E41" s="3">
        <v>65000</v>
      </c>
      <c r="F41" s="4">
        <f>[1]Revenue!$L$34</f>
        <v>63000</v>
      </c>
      <c r="G41" s="4">
        <v>65000</v>
      </c>
      <c r="H41" s="4">
        <v>51130</v>
      </c>
      <c r="I41" s="4">
        <v>68780</v>
      </c>
      <c r="J41" s="4">
        <v>14485</v>
      </c>
      <c r="K41" s="38">
        <f>(E41-G41)/G41</f>
        <v>0</v>
      </c>
    </row>
    <row r="42" spans="1:11" x14ac:dyDescent="0.25">
      <c r="A42" s="2">
        <v>14211</v>
      </c>
      <c r="B42" s="2">
        <v>34014</v>
      </c>
      <c r="D42" s="2" t="s">
        <v>668</v>
      </c>
      <c r="E42" s="3">
        <v>44000</v>
      </c>
      <c r="F42" s="4">
        <f>[1]Revenue!$L$35</f>
        <v>40000</v>
      </c>
      <c r="G42" s="4">
        <v>40000</v>
      </c>
      <c r="H42" s="4">
        <v>40000</v>
      </c>
      <c r="I42" s="4">
        <v>40000</v>
      </c>
      <c r="J42" s="4">
        <v>29100</v>
      </c>
      <c r="K42" s="38">
        <f>(E42-G42)/G42</f>
        <v>0.1</v>
      </c>
    </row>
    <row r="43" spans="1:11" x14ac:dyDescent="0.25">
      <c r="D43" s="2" t="s">
        <v>669</v>
      </c>
      <c r="E43" s="3"/>
      <c r="F43" s="4"/>
      <c r="G43" s="4"/>
      <c r="H43" s="4"/>
      <c r="I43" s="4"/>
      <c r="J43" s="4"/>
      <c r="K43" s="38"/>
    </row>
    <row r="44" spans="1:11" x14ac:dyDescent="0.25">
      <c r="A44" s="2">
        <v>14211</v>
      </c>
      <c r="B44" s="2">
        <v>34015</v>
      </c>
      <c r="D44" s="2" t="s">
        <v>670</v>
      </c>
      <c r="E44" s="35">
        <v>0</v>
      </c>
      <c r="F44" s="33"/>
      <c r="G44" s="33">
        <v>0</v>
      </c>
      <c r="H44" s="33">
        <v>0</v>
      </c>
      <c r="I44" s="33">
        <v>12322.96</v>
      </c>
      <c r="J44" s="33">
        <v>12444.04</v>
      </c>
      <c r="K44" s="38"/>
    </row>
    <row r="45" spans="1:11" s="5" customFormat="1" x14ac:dyDescent="0.25">
      <c r="A45" s="5" t="s">
        <v>23</v>
      </c>
      <c r="B45" s="5" t="s">
        <v>336</v>
      </c>
      <c r="E45" s="21">
        <f>SUM(E34:E44)</f>
        <v>534636</v>
      </c>
      <c r="F45" s="22">
        <f>SUM(F34:F44)</f>
        <v>558000</v>
      </c>
      <c r="G45" s="22">
        <v>446760</v>
      </c>
      <c r="H45" s="22">
        <v>399340.45</v>
      </c>
      <c r="I45" s="22">
        <v>358661.3</v>
      </c>
      <c r="J45" s="22">
        <v>265354.37</v>
      </c>
      <c r="K45" s="38">
        <f>(E45-G45)/G45</f>
        <v>0.19669621273166801</v>
      </c>
    </row>
    <row r="46" spans="1:11" x14ac:dyDescent="0.25">
      <c r="E46" s="3"/>
      <c r="F46" s="4"/>
      <c r="G46" s="4"/>
      <c r="H46" s="4"/>
      <c r="I46" s="4"/>
      <c r="J46" s="4"/>
      <c r="K46" s="38"/>
    </row>
    <row r="47" spans="1:11" x14ac:dyDescent="0.25">
      <c r="A47" s="2">
        <v>14230</v>
      </c>
      <c r="B47" s="2" t="s">
        <v>337</v>
      </c>
      <c r="E47" s="3"/>
      <c r="F47" s="4"/>
      <c r="G47" s="4"/>
      <c r="H47" s="4"/>
      <c r="I47" s="4"/>
      <c r="J47" s="4"/>
      <c r="K47" s="38"/>
    </row>
    <row r="48" spans="1:11" x14ac:dyDescent="0.25">
      <c r="A48" s="2">
        <v>14230</v>
      </c>
      <c r="B48" s="2">
        <v>33100</v>
      </c>
      <c r="D48" s="2" t="s">
        <v>644</v>
      </c>
      <c r="E48" s="3">
        <v>0</v>
      </c>
      <c r="F48" s="4"/>
      <c r="G48" s="4">
        <v>0</v>
      </c>
      <c r="H48" s="4">
        <v>975</v>
      </c>
      <c r="I48" s="4">
        <v>32747.439999999999</v>
      </c>
      <c r="J48" s="4">
        <v>52270</v>
      </c>
      <c r="K48" s="38"/>
    </row>
    <row r="49" spans="1:11" x14ac:dyDescent="0.25">
      <c r="A49" s="2">
        <v>14230</v>
      </c>
      <c r="B49" s="2">
        <v>34032</v>
      </c>
      <c r="D49" s="2" t="s">
        <v>671</v>
      </c>
      <c r="E49" s="3">
        <v>10000</v>
      </c>
      <c r="F49" s="4">
        <f>[1]Revenue!$L$41</f>
        <v>8500</v>
      </c>
      <c r="G49" s="4">
        <v>10000</v>
      </c>
      <c r="H49" s="4">
        <v>4321.41</v>
      </c>
      <c r="I49" s="4">
        <v>7108.8</v>
      </c>
      <c r="J49" s="4">
        <v>8879.2000000000007</v>
      </c>
      <c r="K49" s="38">
        <f>(E49-G49)/G49</f>
        <v>0</v>
      </c>
    </row>
    <row r="50" spans="1:11" x14ac:dyDescent="0.25">
      <c r="A50" s="2">
        <v>14230</v>
      </c>
      <c r="B50" s="2">
        <v>34033</v>
      </c>
      <c r="D50" s="2" t="s">
        <v>672</v>
      </c>
      <c r="E50" s="3">
        <v>14000</v>
      </c>
      <c r="F50" s="4">
        <f>[1]Revenue!$L$42</f>
        <v>15000</v>
      </c>
      <c r="G50" s="4">
        <v>12000</v>
      </c>
      <c r="H50" s="4">
        <v>10362.36</v>
      </c>
      <c r="I50" s="4">
        <v>13603.39</v>
      </c>
      <c r="J50" s="4">
        <v>4392.3500000000004</v>
      </c>
      <c r="K50" s="38">
        <f>(E50-G50)/G50</f>
        <v>0.16666666666666666</v>
      </c>
    </row>
    <row r="51" spans="1:11" x14ac:dyDescent="0.25">
      <c r="D51" s="2" t="s">
        <v>673</v>
      </c>
      <c r="E51" s="3"/>
      <c r="F51" s="4"/>
      <c r="G51" s="4"/>
      <c r="H51" s="4"/>
      <c r="I51" s="4"/>
      <c r="J51" s="4"/>
      <c r="K51" s="38"/>
    </row>
    <row r="52" spans="1:11" x14ac:dyDescent="0.25">
      <c r="A52" s="2">
        <v>14230</v>
      </c>
      <c r="B52" s="2">
        <v>34034</v>
      </c>
      <c r="D52" s="2" t="s">
        <v>674</v>
      </c>
      <c r="E52" s="3">
        <v>0</v>
      </c>
      <c r="F52" s="4">
        <f>[1]Revenue!$L$43</f>
        <v>200</v>
      </c>
      <c r="G52" s="4">
        <v>0</v>
      </c>
      <c r="H52" s="4">
        <v>554.79</v>
      </c>
      <c r="I52" s="4">
        <v>603.79999999999995</v>
      </c>
      <c r="J52" s="4">
        <v>1426.68</v>
      </c>
      <c r="K52" s="38"/>
    </row>
    <row r="53" spans="1:11" x14ac:dyDescent="0.25">
      <c r="A53" s="2">
        <v>14230</v>
      </c>
      <c r="B53" s="2">
        <v>34035</v>
      </c>
      <c r="D53" s="2" t="s">
        <v>675</v>
      </c>
      <c r="E53" s="3">
        <v>500</v>
      </c>
      <c r="F53" s="4">
        <f>[1]Revenue!$L$44</f>
        <v>0</v>
      </c>
      <c r="G53" s="4">
        <v>500</v>
      </c>
      <c r="H53" s="4">
        <v>0</v>
      </c>
      <c r="I53" s="4">
        <v>457.29</v>
      </c>
      <c r="J53" s="4">
        <v>0</v>
      </c>
      <c r="K53" s="38">
        <f>(E53-G53)/G53</f>
        <v>0</v>
      </c>
    </row>
    <row r="54" spans="1:11" x14ac:dyDescent="0.25">
      <c r="A54" s="2">
        <v>14230</v>
      </c>
      <c r="B54" s="2">
        <v>34036</v>
      </c>
      <c r="D54" s="2" t="s">
        <v>676</v>
      </c>
      <c r="E54" s="3">
        <v>14000</v>
      </c>
      <c r="F54" s="4">
        <f>[1]Revenue!$L$45</f>
        <v>13400</v>
      </c>
      <c r="G54" s="4">
        <v>13500</v>
      </c>
      <c r="H54" s="4">
        <v>13657</v>
      </c>
      <c r="I54" s="4">
        <v>7780</v>
      </c>
      <c r="J54" s="4">
        <v>5833.5</v>
      </c>
      <c r="K54" s="38">
        <f>(E54-G54)/G54</f>
        <v>3.7037037037037035E-2</v>
      </c>
    </row>
    <row r="55" spans="1:11" x14ac:dyDescent="0.25">
      <c r="D55" s="2" t="s">
        <v>677</v>
      </c>
      <c r="E55" s="3"/>
      <c r="F55" s="4"/>
      <c r="G55" s="4"/>
      <c r="H55" s="4"/>
      <c r="I55" s="4"/>
      <c r="J55" s="4"/>
      <c r="K55" s="38"/>
    </row>
    <row r="56" spans="1:11" x14ac:dyDescent="0.25">
      <c r="A56" s="2">
        <v>14230</v>
      </c>
      <c r="B56" s="2">
        <v>34037</v>
      </c>
      <c r="D56" s="2" t="s">
        <v>678</v>
      </c>
      <c r="E56" s="3">
        <v>14500</v>
      </c>
      <c r="F56" s="4">
        <f>[1]Revenue!$L$46</f>
        <v>14400</v>
      </c>
      <c r="G56" s="4">
        <v>12500</v>
      </c>
      <c r="H56" s="4">
        <v>12542.5</v>
      </c>
      <c r="I56" s="4">
        <v>14494.2</v>
      </c>
      <c r="J56" s="4">
        <v>7497.42</v>
      </c>
      <c r="K56" s="38">
        <f>(E56-G56)/G56</f>
        <v>0.16</v>
      </c>
    </row>
    <row r="57" spans="1:11" x14ac:dyDescent="0.25">
      <c r="D57" s="2" t="s">
        <v>679</v>
      </c>
      <c r="E57" s="3"/>
      <c r="F57" s="4"/>
      <c r="G57" s="4"/>
      <c r="H57" s="4"/>
      <c r="I57" s="4"/>
      <c r="J57" s="4"/>
      <c r="K57" s="38"/>
    </row>
    <row r="58" spans="1:11" x14ac:dyDescent="0.25">
      <c r="A58" s="2">
        <v>14230</v>
      </c>
      <c r="B58" s="2">
        <v>35090</v>
      </c>
      <c r="D58" s="2" t="s">
        <v>660</v>
      </c>
      <c r="E58" s="35">
        <v>8000</v>
      </c>
      <c r="F58" s="33">
        <f>[1]Revenue!$L$47</f>
        <v>7000</v>
      </c>
      <c r="G58" s="33">
        <v>4000</v>
      </c>
      <c r="H58" s="33">
        <v>5000</v>
      </c>
      <c r="I58" s="33">
        <v>1489.15</v>
      </c>
      <c r="J58" s="33">
        <v>2971.78</v>
      </c>
      <c r="K58" s="38">
        <f>(E58-G58)/G58</f>
        <v>1</v>
      </c>
    </row>
    <row r="59" spans="1:11" x14ac:dyDescent="0.25">
      <c r="D59" s="2" t="s">
        <v>680</v>
      </c>
      <c r="E59" s="42"/>
      <c r="F59" s="43"/>
      <c r="G59" s="43"/>
      <c r="H59" s="43"/>
      <c r="I59" s="43"/>
      <c r="J59" s="43"/>
      <c r="K59" s="38"/>
    </row>
    <row r="60" spans="1:11" s="5" customFormat="1" x14ac:dyDescent="0.25">
      <c r="A60" s="5" t="s">
        <v>23</v>
      </c>
      <c r="B60" s="5" t="s">
        <v>431</v>
      </c>
      <c r="E60" s="21">
        <f>SUM(E48:E58)</f>
        <v>61000</v>
      </c>
      <c r="F60" s="22">
        <f>SUM(F48:F58)</f>
        <v>58500</v>
      </c>
      <c r="G60" s="22">
        <v>52500</v>
      </c>
      <c r="H60" s="22">
        <v>47413.06</v>
      </c>
      <c r="I60" s="22">
        <v>78284.070000000007</v>
      </c>
      <c r="J60" s="22">
        <v>83270.929999999993</v>
      </c>
      <c r="K60" s="38">
        <f>(E60-G60)/G60</f>
        <v>0.16190476190476191</v>
      </c>
    </row>
    <row r="61" spans="1:11" x14ac:dyDescent="0.25">
      <c r="E61" s="3"/>
      <c r="F61" s="4"/>
      <c r="G61" s="4"/>
      <c r="H61" s="4"/>
      <c r="I61" s="4"/>
      <c r="J61" s="4"/>
      <c r="K61" s="38"/>
    </row>
    <row r="62" spans="1:11" x14ac:dyDescent="0.25">
      <c r="A62" s="2">
        <v>14235</v>
      </c>
      <c r="B62" s="2" t="s">
        <v>432</v>
      </c>
      <c r="E62" s="3"/>
      <c r="F62" s="4"/>
      <c r="G62" s="4"/>
      <c r="H62" s="4"/>
      <c r="I62" s="4"/>
      <c r="J62" s="4"/>
      <c r="K62" s="38"/>
    </row>
    <row r="63" spans="1:11" x14ac:dyDescent="0.25">
      <c r="A63" s="2">
        <v>14235</v>
      </c>
      <c r="B63" s="2">
        <v>33100</v>
      </c>
      <c r="D63" s="2" t="s">
        <v>644</v>
      </c>
      <c r="E63" s="3">
        <v>0</v>
      </c>
      <c r="F63" s="4">
        <f>[1]Revenue!L51</f>
        <v>2448</v>
      </c>
      <c r="G63" s="4">
        <v>0</v>
      </c>
      <c r="H63" s="4">
        <v>2500</v>
      </c>
      <c r="I63" s="4">
        <v>5250</v>
      </c>
      <c r="J63" s="4">
        <v>4000</v>
      </c>
      <c r="K63" s="38"/>
    </row>
    <row r="64" spans="1:11" x14ac:dyDescent="0.25">
      <c r="A64" s="2">
        <v>14235</v>
      </c>
      <c r="B64" s="2">
        <v>34091</v>
      </c>
      <c r="D64" s="2" t="s">
        <v>681</v>
      </c>
      <c r="E64" s="35">
        <v>3000</v>
      </c>
      <c r="F64" s="33">
        <f>[1]Revenue!L52</f>
        <v>3050</v>
      </c>
      <c r="G64" s="33">
        <v>5000</v>
      </c>
      <c r="H64" s="33">
        <v>3770</v>
      </c>
      <c r="I64" s="33">
        <v>7938</v>
      </c>
      <c r="J64" s="33">
        <v>6179.4</v>
      </c>
      <c r="K64" s="38">
        <f>(E64-G64)/G64</f>
        <v>-0.4</v>
      </c>
    </row>
    <row r="65" spans="1:11" s="5" customFormat="1" x14ac:dyDescent="0.25">
      <c r="A65" s="5" t="s">
        <v>23</v>
      </c>
      <c r="B65" s="5" t="s">
        <v>441</v>
      </c>
      <c r="E65" s="21">
        <f>SUM(E63:E64)</f>
        <v>3000</v>
      </c>
      <c r="F65" s="22">
        <f>SUM(F63:F64)</f>
        <v>5498</v>
      </c>
      <c r="G65" s="22">
        <v>5000</v>
      </c>
      <c r="H65" s="22">
        <v>6270</v>
      </c>
      <c r="I65" s="22">
        <v>13188</v>
      </c>
      <c r="J65" s="22">
        <v>10179.4</v>
      </c>
      <c r="K65" s="38">
        <f>(E65-G65)/G65</f>
        <v>-0.4</v>
      </c>
    </row>
    <row r="66" spans="1:11" x14ac:dyDescent="0.25">
      <c r="E66" s="3"/>
      <c r="F66" s="4"/>
      <c r="G66" s="4"/>
      <c r="H66" s="4"/>
      <c r="I66" s="4"/>
      <c r="J66" s="4"/>
      <c r="K66" s="38"/>
    </row>
    <row r="67" spans="1:11" x14ac:dyDescent="0.25">
      <c r="A67" s="2">
        <v>14441</v>
      </c>
      <c r="B67" s="2" t="s">
        <v>442</v>
      </c>
      <c r="E67" s="3"/>
      <c r="F67" s="4"/>
      <c r="G67" s="4"/>
      <c r="H67" s="4"/>
      <c r="I67" s="4"/>
      <c r="J67" s="4"/>
      <c r="K67" s="38"/>
    </row>
    <row r="68" spans="1:11" x14ac:dyDescent="0.25">
      <c r="A68" s="2">
        <v>14441</v>
      </c>
      <c r="B68" s="2">
        <v>33520</v>
      </c>
      <c r="D68" s="2" t="s">
        <v>682</v>
      </c>
      <c r="E68" s="3">
        <v>280000</v>
      </c>
      <c r="F68" s="4">
        <f>[1]Revenue!L58</f>
        <v>279223</v>
      </c>
      <c r="G68" s="4">
        <v>280000</v>
      </c>
      <c r="H68" s="4">
        <v>286858</v>
      </c>
      <c r="I68" s="4">
        <v>298504</v>
      </c>
      <c r="J68" s="4">
        <v>265431</v>
      </c>
      <c r="K68" s="38">
        <f>(E68-G68)/G68</f>
        <v>0</v>
      </c>
    </row>
    <row r="69" spans="1:11" x14ac:dyDescent="0.25">
      <c r="A69" s="2">
        <v>14441</v>
      </c>
      <c r="B69" s="2">
        <v>33730</v>
      </c>
      <c r="D69" s="2" t="s">
        <v>683</v>
      </c>
      <c r="E69" s="35">
        <v>50000</v>
      </c>
      <c r="F69" s="33">
        <f>[1]Revenue!L59</f>
        <v>59000</v>
      </c>
      <c r="G69" s="33">
        <v>20000</v>
      </c>
      <c r="H69" s="33">
        <v>58793.26</v>
      </c>
      <c r="I69" s="33">
        <v>160730.12</v>
      </c>
      <c r="J69" s="33">
        <v>80361.45</v>
      </c>
      <c r="K69" s="38">
        <f>(E69-G69)/G69</f>
        <v>1.5</v>
      </c>
    </row>
    <row r="70" spans="1:11" s="5" customFormat="1" x14ac:dyDescent="0.25">
      <c r="A70" s="5" t="s">
        <v>23</v>
      </c>
      <c r="B70" s="5" t="s">
        <v>446</v>
      </c>
      <c r="E70" s="21">
        <f>SUM(E68:E69)</f>
        <v>330000</v>
      </c>
      <c r="F70" s="22">
        <f>SUM(F68:F69)</f>
        <v>338223</v>
      </c>
      <c r="G70" s="22">
        <v>300000</v>
      </c>
      <c r="H70" s="22">
        <v>345651.26</v>
      </c>
      <c r="I70" s="22">
        <v>459234.12</v>
      </c>
      <c r="J70" s="22">
        <v>345792.45</v>
      </c>
      <c r="K70" s="38">
        <f>(E70-G70)/G70</f>
        <v>0.1</v>
      </c>
    </row>
    <row r="71" spans="1:11" x14ac:dyDescent="0.25">
      <c r="E71" s="3"/>
      <c r="F71" s="4"/>
      <c r="G71" s="4"/>
      <c r="H71" s="4"/>
      <c r="I71" s="4"/>
      <c r="J71" s="4"/>
      <c r="K71" s="38"/>
    </row>
    <row r="72" spans="1:11" s="5" customFormat="1" x14ac:dyDescent="0.25">
      <c r="A72" s="5" t="s">
        <v>23</v>
      </c>
      <c r="B72" s="5" t="s">
        <v>465</v>
      </c>
      <c r="E72" s="21">
        <f>E70+E65+E60+E45+E31+E24+E19+E7</f>
        <v>4600096</v>
      </c>
      <c r="F72" s="22">
        <f>F70+F65+F60+F45+F31+F24+F19+F7</f>
        <v>3105102.21</v>
      </c>
      <c r="G72" s="22">
        <v>23411438</v>
      </c>
      <c r="H72" s="22">
        <v>20679352.34</v>
      </c>
      <c r="I72" s="22">
        <v>19456377.309999999</v>
      </c>
      <c r="J72" s="22">
        <v>18577772.920000002</v>
      </c>
      <c r="K72" s="38">
        <f>(E72-G72)/G72</f>
        <v>-0.80351074547407131</v>
      </c>
    </row>
    <row r="73" spans="1:11" x14ac:dyDescent="0.25">
      <c r="E73" s="3"/>
      <c r="F73" s="4"/>
      <c r="G73" s="4"/>
      <c r="H73" s="4"/>
      <c r="I73" s="4"/>
      <c r="J73" s="4"/>
      <c r="K73" s="38"/>
    </row>
    <row r="74" spans="1:11" x14ac:dyDescent="0.25">
      <c r="A74" s="2">
        <v>25100</v>
      </c>
      <c r="B74" s="2" t="s">
        <v>472</v>
      </c>
      <c r="E74" s="3"/>
      <c r="F74" s="4"/>
      <c r="G74" s="4"/>
      <c r="H74" s="4"/>
      <c r="I74" s="4"/>
      <c r="J74" s="4"/>
      <c r="K74" s="38"/>
    </row>
    <row r="75" spans="1:11" x14ac:dyDescent="0.25">
      <c r="A75" s="2">
        <v>25100</v>
      </c>
      <c r="B75" s="2">
        <v>34040</v>
      </c>
      <c r="D75" s="2" t="s">
        <v>684</v>
      </c>
      <c r="E75" s="3">
        <v>2200000</v>
      </c>
      <c r="F75" s="4">
        <f>[1]Revenue!L65</f>
        <v>2473797</v>
      </c>
      <c r="G75" s="4">
        <v>2200000</v>
      </c>
      <c r="H75" s="4">
        <v>2118784</v>
      </c>
      <c r="I75" s="4">
        <v>1960435</v>
      </c>
      <c r="J75" s="4">
        <v>2299687</v>
      </c>
      <c r="K75" s="38">
        <f>(E75-G75)/G75</f>
        <v>0</v>
      </c>
    </row>
    <row r="76" spans="1:11" x14ac:dyDescent="0.25">
      <c r="A76" s="2">
        <v>25100</v>
      </c>
      <c r="B76" s="2">
        <v>34042</v>
      </c>
      <c r="D76" s="2" t="s">
        <v>685</v>
      </c>
      <c r="E76" s="3">
        <v>780000</v>
      </c>
      <c r="F76" s="4">
        <f>[1]Revenue!L66</f>
        <v>780000</v>
      </c>
      <c r="G76" s="4">
        <v>703032</v>
      </c>
      <c r="H76" s="4">
        <v>801768.54</v>
      </c>
      <c r="I76" s="4">
        <v>901564.18</v>
      </c>
      <c r="J76" s="4">
        <v>1019334.35</v>
      </c>
      <c r="K76" s="38">
        <f>(E76-G76)/G76</f>
        <v>0.10948008056532277</v>
      </c>
    </row>
    <row r="77" spans="1:11" x14ac:dyDescent="0.25">
      <c r="A77" s="2">
        <v>25100</v>
      </c>
      <c r="B77" s="2">
        <v>34044</v>
      </c>
      <c r="D77" s="2" t="s">
        <v>686</v>
      </c>
      <c r="E77" s="3">
        <v>4140000</v>
      </c>
      <c r="F77" s="4">
        <f>[1]Revenue!L67</f>
        <v>4000000</v>
      </c>
      <c r="G77" s="4">
        <v>3886168</v>
      </c>
      <c r="H77" s="4">
        <v>3784558.5</v>
      </c>
      <c r="I77" s="4">
        <v>3215592.1</v>
      </c>
      <c r="J77" s="4">
        <v>3313149.09</v>
      </c>
      <c r="K77" s="38">
        <f>(E77-G77)/G77</f>
        <v>6.5316785069508054E-2</v>
      </c>
    </row>
    <row r="78" spans="1:11" x14ac:dyDescent="0.25">
      <c r="A78" s="2">
        <v>25100</v>
      </c>
      <c r="B78" s="2">
        <v>34046</v>
      </c>
      <c r="D78" s="2" t="s">
        <v>687</v>
      </c>
      <c r="E78" s="3">
        <v>1155000</v>
      </c>
      <c r="F78" s="4">
        <f>[1]Revenue!L68</f>
        <v>1021878</v>
      </c>
      <c r="G78" s="4">
        <v>700000</v>
      </c>
      <c r="H78" s="4">
        <v>628368.92000000004</v>
      </c>
      <c r="I78" s="4">
        <v>461939.24</v>
      </c>
      <c r="J78" s="4">
        <v>833883.27</v>
      </c>
      <c r="K78" s="38">
        <f>(E78-G78)/G78</f>
        <v>0.65</v>
      </c>
    </row>
    <row r="79" spans="1:11" x14ac:dyDescent="0.25">
      <c r="A79" s="2">
        <v>25100</v>
      </c>
      <c r="B79" s="2">
        <v>34047</v>
      </c>
      <c r="D79" s="2" t="s">
        <v>688</v>
      </c>
      <c r="E79" s="3">
        <v>195000</v>
      </c>
      <c r="F79" s="4">
        <f>[1]Revenue!L69</f>
        <v>225000</v>
      </c>
      <c r="G79" s="4">
        <v>500000</v>
      </c>
      <c r="H79" s="4">
        <v>369857.59</v>
      </c>
      <c r="I79" s="4">
        <v>521306.71</v>
      </c>
      <c r="J79" s="4">
        <v>661322.72</v>
      </c>
      <c r="K79" s="38">
        <f>(E79-G79)/G79</f>
        <v>-0.61</v>
      </c>
    </row>
    <row r="80" spans="1:11" x14ac:dyDescent="0.25">
      <c r="A80" s="2">
        <v>25100</v>
      </c>
      <c r="B80" s="2">
        <v>34048</v>
      </c>
      <c r="D80" s="2" t="s">
        <v>689</v>
      </c>
      <c r="E80" s="3">
        <v>496000</v>
      </c>
      <c r="F80" s="4">
        <f>[1]Revenue!L70</f>
        <v>470000</v>
      </c>
      <c r="G80" s="4">
        <v>500000</v>
      </c>
      <c r="H80" s="4">
        <v>380624.73</v>
      </c>
      <c r="I80" s="4">
        <v>709319.72</v>
      </c>
      <c r="J80" s="4">
        <v>1301257.26</v>
      </c>
      <c r="K80" s="38">
        <f>(E80-G80)/G80</f>
        <v>-8.0000000000000002E-3</v>
      </c>
    </row>
    <row r="81" spans="1:11" x14ac:dyDescent="0.25">
      <c r="A81" s="2">
        <v>25100</v>
      </c>
      <c r="B81" s="2">
        <v>34050</v>
      </c>
      <c r="D81" s="2" t="s">
        <v>690</v>
      </c>
      <c r="E81" s="3">
        <v>1000000</v>
      </c>
      <c r="F81" s="4">
        <f>[1]Revenue!L71</f>
        <v>1375000</v>
      </c>
      <c r="G81" s="4">
        <v>1698224</v>
      </c>
      <c r="H81" s="4">
        <v>1861883.96</v>
      </c>
      <c r="I81" s="4">
        <v>2179662.35</v>
      </c>
      <c r="J81" s="4">
        <v>1727396.15</v>
      </c>
      <c r="K81" s="38">
        <f>(E81-G81)/G81</f>
        <v>-0.41114953033286539</v>
      </c>
    </row>
    <row r="82" spans="1:11" x14ac:dyDescent="0.25">
      <c r="A82" s="2">
        <v>25100</v>
      </c>
      <c r="B82" s="2">
        <v>34054</v>
      </c>
      <c r="D82" s="2" t="s">
        <v>691</v>
      </c>
      <c r="E82" s="3">
        <v>150000</v>
      </c>
      <c r="F82" s="4">
        <f>[1]Revenue!L72</f>
        <v>135000</v>
      </c>
      <c r="G82" s="4">
        <v>100000</v>
      </c>
      <c r="H82" s="4">
        <v>56639.97</v>
      </c>
      <c r="I82" s="4">
        <v>116996.77</v>
      </c>
      <c r="J82" s="4">
        <v>158899.98000000001</v>
      </c>
      <c r="K82" s="38">
        <f>(E82-G82)/G82</f>
        <v>0.5</v>
      </c>
    </row>
    <row r="83" spans="1:11" x14ac:dyDescent="0.25">
      <c r="A83" s="2">
        <v>25100</v>
      </c>
      <c r="B83" s="2">
        <v>34055</v>
      </c>
      <c r="D83" s="2" t="s">
        <v>692</v>
      </c>
      <c r="E83" s="3">
        <v>50000</v>
      </c>
      <c r="F83" s="4">
        <f>[1]Revenue!L73</f>
        <v>50000</v>
      </c>
      <c r="G83" s="4">
        <v>110000</v>
      </c>
      <c r="H83" s="4">
        <v>116836.07</v>
      </c>
      <c r="I83" s="4">
        <v>142428.13</v>
      </c>
      <c r="J83" s="4">
        <v>149598.76</v>
      </c>
      <c r="K83" s="38">
        <f>(E83-G83)/G83</f>
        <v>-0.54545454545454541</v>
      </c>
    </row>
    <row r="84" spans="1:11" x14ac:dyDescent="0.25">
      <c r="A84" s="2">
        <v>25100</v>
      </c>
      <c r="B84" s="2">
        <v>34056</v>
      </c>
      <c r="D84" s="2" t="s">
        <v>693</v>
      </c>
      <c r="E84" s="3">
        <v>0</v>
      </c>
      <c r="F84" s="4"/>
      <c r="G84" s="4">
        <v>0</v>
      </c>
      <c r="H84" s="4">
        <v>0</v>
      </c>
      <c r="I84" s="4">
        <v>156400</v>
      </c>
      <c r="J84" s="4">
        <v>0</v>
      </c>
      <c r="K84" s="38"/>
    </row>
    <row r="85" spans="1:11" x14ac:dyDescent="0.25">
      <c r="A85" s="2">
        <v>25100</v>
      </c>
      <c r="B85" s="2">
        <v>34553</v>
      </c>
      <c r="D85" s="2" t="s">
        <v>694</v>
      </c>
      <c r="E85" s="3">
        <v>0</v>
      </c>
      <c r="F85" s="4"/>
      <c r="G85" s="4">
        <v>0</v>
      </c>
      <c r="H85" s="4">
        <v>-45541.69</v>
      </c>
      <c r="I85" s="4">
        <v>-72410.509999999995</v>
      </c>
      <c r="J85" s="4">
        <v>-66785</v>
      </c>
      <c r="K85" s="38"/>
    </row>
    <row r="86" spans="1:11" x14ac:dyDescent="0.25">
      <c r="A86" s="2">
        <v>25100</v>
      </c>
      <c r="B86" s="2">
        <v>35090</v>
      </c>
      <c r="D86" s="2" t="s">
        <v>660</v>
      </c>
      <c r="G86" s="43">
        <v>0</v>
      </c>
      <c r="H86" s="43">
        <v>310.67</v>
      </c>
      <c r="I86" s="43">
        <v>124604.38</v>
      </c>
      <c r="J86" s="43">
        <v>692770.72</v>
      </c>
      <c r="K86" s="38"/>
    </row>
    <row r="87" spans="1:11" x14ac:dyDescent="0.25">
      <c r="A87" s="2">
        <v>25130</v>
      </c>
      <c r="B87" s="2">
        <v>34040</v>
      </c>
      <c r="D87" s="2" t="s">
        <v>695</v>
      </c>
      <c r="E87" s="42">
        <v>3120</v>
      </c>
      <c r="F87" s="43"/>
      <c r="G87" s="43">
        <v>0</v>
      </c>
      <c r="H87" s="43">
        <v>0</v>
      </c>
      <c r="I87" s="43">
        <v>0</v>
      </c>
      <c r="J87" s="43">
        <v>7753.5</v>
      </c>
      <c r="K87" s="38"/>
    </row>
    <row r="88" spans="1:11" s="5" customFormat="1" x14ac:dyDescent="0.25">
      <c r="A88" s="5" t="s">
        <v>23</v>
      </c>
      <c r="B88" s="5" t="s">
        <v>635</v>
      </c>
      <c r="E88" s="21">
        <f>SUM(E75:E87)</f>
        <v>10169120</v>
      </c>
      <c r="F88" s="22">
        <f>SUM(F75:F87)</f>
        <v>10530675</v>
      </c>
      <c r="G88" s="22">
        <v>10397424</v>
      </c>
      <c r="H88" s="22">
        <v>10074091.26</v>
      </c>
      <c r="I88" s="22">
        <v>10417838.07</v>
      </c>
      <c r="J88" s="22">
        <v>12098267.800000001</v>
      </c>
      <c r="K88" s="38">
        <f>(E88-G88)/G88</f>
        <v>-2.19577464571994E-2</v>
      </c>
    </row>
    <row r="89" spans="1:11" x14ac:dyDescent="0.25">
      <c r="E89" s="3"/>
      <c r="F89" s="4"/>
      <c r="G89" s="4"/>
      <c r="H89" s="4"/>
      <c r="I89" s="4"/>
      <c r="J89" s="4"/>
      <c r="K89" s="38"/>
    </row>
    <row r="90" spans="1:11" s="5" customFormat="1" x14ac:dyDescent="0.25">
      <c r="C90" s="5" t="s">
        <v>696</v>
      </c>
      <c r="E90" s="21">
        <f>E88+E72</f>
        <v>14769216</v>
      </c>
      <c r="F90" s="22">
        <f>F88+F72</f>
        <v>13635777.210000001</v>
      </c>
      <c r="G90" s="22">
        <v>33808862</v>
      </c>
      <c r="H90" s="22">
        <v>30753443.600000001</v>
      </c>
      <c r="I90" s="22">
        <v>29874215.379999999</v>
      </c>
      <c r="J90" s="22">
        <v>30676040.719999999</v>
      </c>
      <c r="K90" s="38">
        <f>(E90-G90)/G90</f>
        <v>-0.56315548272520977</v>
      </c>
    </row>
    <row r="91" spans="1:11" x14ac:dyDescent="0.25">
      <c r="D91" s="2" t="s">
        <v>697</v>
      </c>
      <c r="E91" s="24">
        <f>E90-E23</f>
        <v>13019216</v>
      </c>
      <c r="K9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A. Shackett</dc:creator>
  <cp:lastModifiedBy>Debra A. Shackett</cp:lastModifiedBy>
  <dcterms:created xsi:type="dcterms:W3CDTF">2023-12-08T12:53:51Z</dcterms:created>
  <dcterms:modified xsi:type="dcterms:W3CDTF">2023-12-08T13:04:33Z</dcterms:modified>
</cp:coreProperties>
</file>